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843"/>
  </bookViews>
  <sheets>
    <sheet name="РЕЙТИНГ КАФ ТА ФАК" sheetId="14" r:id="rId1"/>
    <sheet name="РЕЙТИНГ ПОРІВНЯЛЬНИЙ" sheetId="21" r:id="rId2"/>
    <sheet name="2.1. Інд. ефект.видавн. діял." sheetId="1" r:id="rId3"/>
    <sheet name="2.2. Інд.якості НПП" sheetId="2" r:id="rId4"/>
    <sheet name="2.3.Якість осв пр" sheetId="15" r:id="rId5"/>
    <sheet name="2.3.1 І як.освіт.проц. " sheetId="3" r:id="rId6"/>
    <sheet name="2.3.2 І д.з." sheetId="10" r:id="rId7"/>
    <sheet name="2.3.3. І студ." sheetId="11" r:id="rId8"/>
    <sheet name="2.3.4. І пл." sheetId="12" r:id="rId9"/>
    <sheet name="2.3.5. І я.п.ф." sheetId="13" r:id="rId10"/>
    <sheet name="2.4. І як.наукової роботи" sheetId="4" r:id="rId11"/>
    <sheet name="2.5. І. між.ак." sheetId="5" r:id="rId12"/>
    <sheet name="2.6.-2.6.1. І фін.активність" sheetId="6" r:id="rId13"/>
    <sheet name="2.6.2. І фін наук діяльності" sheetId="7" r:id="rId14"/>
    <sheet name="2.7. І вебометричних показн." sheetId="8" r:id="rId15"/>
    <sheet name="2.8. І к-м.спорт роб." sheetId="9" r:id="rId16"/>
  </sheets>
  <definedNames>
    <definedName name="_GoBack" localSheetId="14">'2.7. І вебометричних показн.'!$G$2</definedName>
    <definedName name="_xlnm._FilterDatabase" localSheetId="0" hidden="1">'РЕЙТИНГ КАФ ТА ФАК'!$B$35:$L$39</definedName>
    <definedName name="_xlnm._FilterDatabase" localSheetId="1" hidden="1">'РЕЙТИНГ ПОРІВНЯЛЬНИЙ'!$B$35:$K$39</definedName>
    <definedName name="_xlnm.Print_Area" localSheetId="5">'2.3.1 І як.освіт.проц. '!$A$1:$E$36</definedName>
    <definedName name="_xlnm.Print_Area" localSheetId="6">'2.3.2 І д.з.'!$A$1:$I$36</definedName>
    <definedName name="_xlnm.Print_Area" localSheetId="7">'2.3.3. І студ.'!$A$1:$J$38</definedName>
    <definedName name="_xlnm.Print_Area" localSheetId="8">'2.3.4. І пл.'!$A$1:$I$37</definedName>
    <definedName name="_xlnm.Print_Area" localSheetId="0">'РЕЙТИНГ КАФ ТА ФАК'!$A$1:$L$44</definedName>
    <definedName name="_xlnm.Print_Area" localSheetId="1">'РЕЙТИНГ ПОРІВНЯЛЬНИЙ'!$A$1:$K$44</definedName>
  </definedNames>
  <calcPr calcId="124519"/>
</workbook>
</file>

<file path=xl/calcChain.xml><?xml version="1.0" encoding="utf-8"?>
<calcChain xmlns="http://schemas.openxmlformats.org/spreadsheetml/2006/main">
  <c r="K37" i="21"/>
  <c r="K38"/>
  <c r="K39"/>
  <c r="K36"/>
  <c r="J39" i="2"/>
  <c r="J40"/>
  <c r="J41"/>
  <c r="J38"/>
  <c r="E32" i="6"/>
  <c r="E33"/>
  <c r="J4" i="21"/>
  <c r="J9"/>
  <c r="J7"/>
  <c r="J6"/>
  <c r="J8"/>
  <c r="J5"/>
  <c r="J11"/>
  <c r="J13"/>
  <c r="J15"/>
  <c r="J20"/>
  <c r="J14"/>
  <c r="J18"/>
  <c r="J22"/>
  <c r="J12"/>
  <c r="J17"/>
  <c r="J16"/>
  <c r="J19"/>
  <c r="J23"/>
  <c r="J10"/>
  <c r="J24"/>
  <c r="J27"/>
  <c r="J21"/>
  <c r="J30"/>
  <c r="J31"/>
  <c r="J26"/>
  <c r="J25"/>
  <c r="J32"/>
  <c r="J28"/>
  <c r="J29"/>
  <c r="J33"/>
  <c r="J3"/>
  <c r="K3" i="1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H17" i="15" l="1"/>
  <c r="I39" i="8" l="1"/>
  <c r="I40"/>
  <c r="I38"/>
  <c r="I37"/>
  <c r="I23" l="1"/>
  <c r="I13"/>
  <c r="I7"/>
  <c r="I29"/>
  <c r="I19"/>
  <c r="I5"/>
  <c r="I31"/>
  <c r="I21"/>
  <c r="I22"/>
  <c r="I30"/>
  <c r="I17"/>
  <c r="I8"/>
  <c r="I4"/>
  <c r="I27"/>
  <c r="I20"/>
  <c r="I14"/>
  <c r="I25"/>
  <c r="I6"/>
  <c r="I24"/>
  <c r="I18"/>
  <c r="I3"/>
  <c r="I12"/>
  <c r="I28"/>
  <c r="I32"/>
  <c r="I10"/>
  <c r="I15"/>
  <c r="I11"/>
  <c r="I26"/>
  <c r="I33"/>
  <c r="I16"/>
  <c r="I9"/>
  <c r="K4" i="4"/>
  <c r="K29"/>
  <c r="K7"/>
  <c r="K18"/>
  <c r="K28"/>
  <c r="K16"/>
  <c r="K31"/>
  <c r="K22"/>
  <c r="K3"/>
  <c r="K20"/>
  <c r="K8"/>
  <c r="K11"/>
  <c r="K6"/>
  <c r="K14"/>
  <c r="K24"/>
  <c r="K12"/>
  <c r="K26"/>
  <c r="K21"/>
  <c r="K25"/>
  <c r="K9"/>
  <c r="K27"/>
  <c r="K32"/>
  <c r="K23"/>
  <c r="K19"/>
  <c r="K30"/>
  <c r="K17"/>
  <c r="K15"/>
  <c r="K10"/>
  <c r="K33"/>
  <c r="K13"/>
  <c r="K5"/>
  <c r="I34" i="12" l="1"/>
  <c r="I33"/>
  <c r="I36"/>
  <c r="I35"/>
  <c r="F37"/>
  <c r="G12" i="13"/>
  <c r="G24"/>
  <c r="G26"/>
  <c r="G25"/>
  <c r="G20"/>
  <c r="G22"/>
  <c r="G18"/>
  <c r="G16"/>
  <c r="G17"/>
  <c r="G21"/>
  <c r="G23"/>
  <c r="G19"/>
  <c r="G9"/>
  <c r="G15"/>
  <c r="G4"/>
  <c r="G14"/>
  <c r="G11"/>
  <c r="G6"/>
  <c r="G5"/>
  <c r="G13"/>
  <c r="G10"/>
  <c r="G7"/>
  <c r="G8"/>
  <c r="G27"/>
  <c r="G33" i="11" l="1"/>
  <c r="G36"/>
  <c r="G35"/>
  <c r="G34"/>
  <c r="G6" i="10"/>
  <c r="G17"/>
  <c r="G18"/>
  <c r="G3"/>
  <c r="G9"/>
  <c r="G16"/>
  <c r="G10"/>
  <c r="G4"/>
  <c r="E18"/>
  <c r="E3"/>
  <c r="E16"/>
  <c r="E10"/>
  <c r="E4"/>
  <c r="C12"/>
  <c r="I12" s="1"/>
  <c r="C19"/>
  <c r="C6"/>
  <c r="C17"/>
  <c r="C18"/>
  <c r="C3"/>
  <c r="C5"/>
  <c r="C9"/>
  <c r="C11"/>
  <c r="C7"/>
  <c r="C16"/>
  <c r="C21"/>
  <c r="C10"/>
  <c r="C29" s="1"/>
  <c r="C4"/>
  <c r="G29" l="1"/>
  <c r="E29"/>
  <c r="E28" i="13"/>
  <c r="F28"/>
  <c r="C28"/>
  <c r="C18" i="3"/>
  <c r="C12"/>
  <c r="E40" i="7" l="1"/>
  <c r="E38"/>
  <c r="E37"/>
  <c r="E39"/>
  <c r="C41"/>
  <c r="E13"/>
  <c r="E22"/>
  <c r="E4"/>
  <c r="E25"/>
  <c r="E24"/>
  <c r="E14"/>
  <c r="E19"/>
  <c r="E12"/>
  <c r="E11"/>
  <c r="E26"/>
  <c r="E27"/>
  <c r="E23"/>
  <c r="E7"/>
  <c r="E15"/>
  <c r="E9"/>
  <c r="E6"/>
  <c r="E10"/>
  <c r="E20"/>
  <c r="E17"/>
  <c r="E3"/>
  <c r="E18"/>
  <c r="E28"/>
  <c r="E16"/>
  <c r="E21"/>
  <c r="E29"/>
  <c r="E30"/>
  <c r="E8"/>
  <c r="E31"/>
  <c r="E32"/>
  <c r="E33"/>
  <c r="E5"/>
  <c r="C34" l="1"/>
  <c r="C9" i="3" l="1"/>
  <c r="C11"/>
  <c r="D3"/>
  <c r="E3" s="1"/>
  <c r="D18"/>
  <c r="D22"/>
  <c r="D28"/>
  <c r="D27"/>
  <c r="D14"/>
  <c r="D24"/>
  <c r="C5"/>
  <c r="C25"/>
  <c r="D25"/>
  <c r="C26"/>
  <c r="D26"/>
  <c r="D5"/>
  <c r="C8"/>
  <c r="C6"/>
  <c r="C15"/>
  <c r="D15"/>
  <c r="C20"/>
  <c r="D20"/>
  <c r="C19"/>
  <c r="D19"/>
  <c r="D21"/>
  <c r="C7"/>
  <c r="D7"/>
  <c r="C10"/>
  <c r="D10"/>
  <c r="C16"/>
  <c r="D16"/>
  <c r="D23"/>
  <c r="C17"/>
  <c r="D17"/>
  <c r="D12"/>
  <c r="C4"/>
  <c r="D4"/>
  <c r="D13"/>
  <c r="E13" s="1"/>
  <c r="C29" l="1"/>
  <c r="D29"/>
  <c r="I22" i="12"/>
  <c r="I29"/>
  <c r="I24"/>
  <c r="C5"/>
  <c r="F18"/>
  <c r="E18"/>
  <c r="D18"/>
  <c r="C18"/>
  <c r="F15"/>
  <c r="E15"/>
  <c r="D15"/>
  <c r="C15"/>
  <c r="E27"/>
  <c r="I27" s="1"/>
  <c r="C27"/>
  <c r="E23"/>
  <c r="C23"/>
  <c r="I23" s="1"/>
  <c r="F26"/>
  <c r="E26"/>
  <c r="D26"/>
  <c r="C26"/>
  <c r="E21"/>
  <c r="D21"/>
  <c r="C21"/>
  <c r="E16"/>
  <c r="D16"/>
  <c r="C16"/>
  <c r="F10"/>
  <c r="E10"/>
  <c r="D10"/>
  <c r="C10"/>
  <c r="F28"/>
  <c r="E28"/>
  <c r="D28"/>
  <c r="C28"/>
  <c r="F8"/>
  <c r="E8"/>
  <c r="D8"/>
  <c r="C8"/>
  <c r="D7"/>
  <c r="F7"/>
  <c r="E7"/>
  <c r="C7"/>
  <c r="E9"/>
  <c r="D9"/>
  <c r="C9"/>
  <c r="I9" s="1"/>
  <c r="G17" i="11"/>
  <c r="G18"/>
  <c r="I7" i="12" l="1"/>
  <c r="I8"/>
  <c r="I10"/>
  <c r="I16"/>
  <c r="I26"/>
  <c r="I15"/>
  <c r="I18"/>
  <c r="I21"/>
  <c r="I28"/>
  <c r="F11"/>
  <c r="E11"/>
  <c r="D11"/>
  <c r="C11"/>
  <c r="E12"/>
  <c r="D12"/>
  <c r="C12"/>
  <c r="E6"/>
  <c r="D6"/>
  <c r="C6"/>
  <c r="I6" s="1"/>
  <c r="E25"/>
  <c r="D25"/>
  <c r="C25"/>
  <c r="F17"/>
  <c r="E17"/>
  <c r="D17"/>
  <c r="C17"/>
  <c r="F20"/>
  <c r="E20"/>
  <c r="D20"/>
  <c r="C20"/>
  <c r="F5"/>
  <c r="E5"/>
  <c r="I5" s="1"/>
  <c r="D5"/>
  <c r="F13"/>
  <c r="E13"/>
  <c r="D13"/>
  <c r="C13"/>
  <c r="F4"/>
  <c r="E4"/>
  <c r="D4"/>
  <c r="C4"/>
  <c r="E19"/>
  <c r="C19"/>
  <c r="I19" s="1"/>
  <c r="C14"/>
  <c r="E14"/>
  <c r="D14"/>
  <c r="D5" i="11"/>
  <c r="C24"/>
  <c r="G24" s="1"/>
  <c r="C29"/>
  <c r="G29" s="1"/>
  <c r="D7"/>
  <c r="C7"/>
  <c r="D13"/>
  <c r="C13"/>
  <c r="D20"/>
  <c r="C20"/>
  <c r="C28"/>
  <c r="G28" s="1"/>
  <c r="D19"/>
  <c r="C19"/>
  <c r="D25"/>
  <c r="C25"/>
  <c r="G25" s="1"/>
  <c r="D22"/>
  <c r="C22"/>
  <c r="D9"/>
  <c r="C9"/>
  <c r="G9" s="1"/>
  <c r="D26"/>
  <c r="C26"/>
  <c r="D10"/>
  <c r="C10"/>
  <c r="G10" s="1"/>
  <c r="D12"/>
  <c r="C12"/>
  <c r="C5"/>
  <c r="D8"/>
  <c r="C8"/>
  <c r="D11"/>
  <c r="C11"/>
  <c r="D6"/>
  <c r="C6"/>
  <c r="D27"/>
  <c r="C27"/>
  <c r="D15"/>
  <c r="C15"/>
  <c r="D23"/>
  <c r="C23"/>
  <c r="D16"/>
  <c r="C16"/>
  <c r="D4"/>
  <c r="C4"/>
  <c r="C14"/>
  <c r="G14" s="1"/>
  <c r="C21"/>
  <c r="G21" s="1"/>
  <c r="E30" i="12" l="1"/>
  <c r="D30" i="11"/>
  <c r="I25" i="12"/>
  <c r="G16" i="11"/>
  <c r="G15"/>
  <c r="G6"/>
  <c r="G8"/>
  <c r="G13"/>
  <c r="F30" i="12"/>
  <c r="I17"/>
  <c r="G12" i="11"/>
  <c r="G26"/>
  <c r="G22"/>
  <c r="G19"/>
  <c r="I14" i="12"/>
  <c r="D30"/>
  <c r="I12"/>
  <c r="C30" i="11"/>
  <c r="I20" i="12"/>
  <c r="G4" i="11"/>
  <c r="G23"/>
  <c r="G27"/>
  <c r="G11"/>
  <c r="G5"/>
  <c r="G20"/>
  <c r="G7"/>
  <c r="I4" i="12"/>
  <c r="C30"/>
  <c r="I13"/>
  <c r="I11"/>
  <c r="C34" i="6"/>
  <c r="H24" i="15" l="1"/>
  <c r="I24" i="10" l="1"/>
  <c r="E18" i="3" l="1"/>
  <c r="D42" i="2" l="1"/>
  <c r="C42"/>
  <c r="D34" l="1"/>
  <c r="C34"/>
  <c r="L38" i="14"/>
  <c r="L39"/>
  <c r="L37"/>
  <c r="L36"/>
  <c r="C34" i="5" l="1"/>
  <c r="G34" i="2"/>
  <c r="G42"/>
  <c r="H42"/>
  <c r="H34"/>
  <c r="C41" i="6"/>
  <c r="K38" i="4"/>
  <c r="E7" i="9"/>
  <c r="C7"/>
  <c r="C43" i="5"/>
  <c r="E42" i="2"/>
  <c r="E34"/>
  <c r="F35" i="13"/>
  <c r="E23" i="3"/>
  <c r="E6"/>
  <c r="E5"/>
  <c r="I4" i="10"/>
  <c r="I13"/>
  <c r="I23"/>
  <c r="I6"/>
  <c r="I28"/>
  <c r="I16"/>
  <c r="I22"/>
  <c r="I14"/>
  <c r="I5"/>
  <c r="I9"/>
  <c r="I27"/>
  <c r="I8"/>
  <c r="I21"/>
  <c r="I19"/>
  <c r="I26"/>
  <c r="I15"/>
  <c r="I25"/>
  <c r="E21" i="3"/>
  <c r="C36" i="10"/>
  <c r="E36"/>
  <c r="E24" i="3"/>
  <c r="E28"/>
  <c r="E17"/>
  <c r="C35" i="13"/>
  <c r="I18" i="10"/>
  <c r="I3"/>
  <c r="I17"/>
  <c r="I10"/>
  <c r="I20"/>
  <c r="I11"/>
  <c r="I7"/>
  <c r="G36"/>
  <c r="H32" i="15"/>
  <c r="H33"/>
  <c r="H31"/>
  <c r="H34"/>
  <c r="H21"/>
  <c r="H7"/>
  <c r="H14"/>
  <c r="H18"/>
  <c r="H25"/>
  <c r="H5"/>
  <c r="H26"/>
  <c r="H15"/>
  <c r="H27"/>
  <c r="H4"/>
  <c r="H13"/>
  <c r="H28"/>
  <c r="H9"/>
  <c r="H10"/>
  <c r="H23"/>
  <c r="H12"/>
  <c r="H22"/>
  <c r="H20"/>
  <c r="H8"/>
  <c r="H11"/>
  <c r="H19"/>
  <c r="H6"/>
  <c r="H3"/>
  <c r="H16"/>
  <c r="E35" i="13"/>
  <c r="G31"/>
  <c r="G34"/>
  <c r="G33"/>
  <c r="G32"/>
  <c r="E37" i="12"/>
  <c r="D37"/>
  <c r="C37"/>
  <c r="E33" i="3"/>
  <c r="E32"/>
  <c r="E35"/>
  <c r="E34"/>
  <c r="E15"/>
  <c r="E4"/>
  <c r="E10"/>
  <c r="E26"/>
  <c r="E7"/>
  <c r="E11"/>
  <c r="E25"/>
  <c r="E8"/>
  <c r="E9"/>
  <c r="E27"/>
  <c r="E16"/>
  <c r="E12"/>
  <c r="E20"/>
  <c r="D37" i="11"/>
  <c r="C37"/>
  <c r="D36" i="3"/>
  <c r="C36"/>
  <c r="E40" i="5"/>
  <c r="E39"/>
  <c r="K41" i="4"/>
  <c r="E14" i="3"/>
  <c r="K39" i="4"/>
  <c r="K40"/>
  <c r="E22" i="3"/>
  <c r="E19"/>
  <c r="G3" i="9"/>
  <c r="E25" i="6" l="1"/>
  <c r="E12"/>
  <c r="E5"/>
  <c r="E13"/>
  <c r="E9"/>
  <c r="E10"/>
  <c r="E31"/>
  <c r="E20"/>
  <c r="E28"/>
  <c r="E21"/>
  <c r="E14"/>
  <c r="E29"/>
  <c r="E6"/>
  <c r="E24"/>
  <c r="E26"/>
  <c r="E27"/>
  <c r="E11"/>
  <c r="E8"/>
  <c r="E4"/>
  <c r="E19"/>
  <c r="E30"/>
  <c r="E7"/>
  <c r="E16"/>
  <c r="E18"/>
  <c r="E3"/>
  <c r="E23"/>
  <c r="E17"/>
  <c r="E22"/>
  <c r="E15"/>
  <c r="E14" i="5"/>
  <c r="E32"/>
  <c r="E7"/>
  <c r="I32" i="10"/>
  <c r="I34"/>
  <c r="E17" i="5"/>
  <c r="E29"/>
  <c r="E5"/>
  <c r="E8"/>
  <c r="E18"/>
  <c r="E9"/>
  <c r="E26"/>
  <c r="G6" i="9"/>
  <c r="G5"/>
  <c r="E30" i="5"/>
  <c r="J9" i="2"/>
  <c r="J7"/>
  <c r="J24"/>
  <c r="J23"/>
  <c r="J3"/>
  <c r="J31"/>
  <c r="J8"/>
  <c r="J20"/>
  <c r="J13"/>
  <c r="J28"/>
  <c r="J22"/>
  <c r="J30"/>
  <c r="J32"/>
  <c r="J19"/>
  <c r="J18"/>
  <c r="J16"/>
  <c r="J17"/>
  <c r="E42" i="5"/>
  <c r="E41"/>
  <c r="E39" i="6"/>
  <c r="E37"/>
  <c r="E40"/>
  <c r="I33" i="10"/>
  <c r="I35"/>
  <c r="E38" i="6"/>
  <c r="J21" i="2"/>
  <c r="J29"/>
  <c r="J5"/>
  <c r="J33"/>
  <c r="E12" i="5"/>
  <c r="E19"/>
  <c r="E23"/>
  <c r="E3"/>
  <c r="E31"/>
  <c r="E10"/>
  <c r="E24"/>
  <c r="E25"/>
  <c r="E33"/>
  <c r="E6"/>
  <c r="E11"/>
  <c r="E15"/>
  <c r="E20"/>
  <c r="E13"/>
  <c r="E22"/>
  <c r="E4"/>
  <c r="E21"/>
  <c r="E28"/>
  <c r="E27"/>
  <c r="E16"/>
  <c r="J25" i="2" l="1"/>
  <c r="J6"/>
  <c r="G4" i="9"/>
  <c r="J11" i="2"/>
  <c r="J14"/>
  <c r="J12"/>
  <c r="J27"/>
  <c r="J26"/>
  <c r="J4"/>
  <c r="J10"/>
  <c r="J15"/>
</calcChain>
</file>

<file path=xl/sharedStrings.xml><?xml version="1.0" encoding="utf-8"?>
<sst xmlns="http://schemas.openxmlformats.org/spreadsheetml/2006/main" count="783" uniqueCount="182">
  <si>
    <t>Кафедра</t>
  </si>
  <si>
    <t>Рейтинг ефективності видавничої діяльності за результатами науково-методичної роботи</t>
  </si>
  <si>
    <t>Рейтинг ефективності видавничої діяльності за результатами наукової роботи</t>
  </si>
  <si>
    <t>Індикатор ефективності видавничої діяльності науково-педагогічних працівників</t>
  </si>
  <si>
    <t>Кафедра управління інноваційною діяльністю та сферою послуг</t>
  </si>
  <si>
    <t>Кафедра автоматизації технологічних процесів та виробництв</t>
  </si>
  <si>
    <t>Кафедра промислового маркетингу</t>
  </si>
  <si>
    <t>Кафедра технічної механіки та сільськогосподарських машин</t>
  </si>
  <si>
    <t>Кафедра менеджменту та адміністрування</t>
  </si>
  <si>
    <t>Кафедра бухгалтерського обліку та аудиту</t>
  </si>
  <si>
    <t>Кафедра економіки та фінансів</t>
  </si>
  <si>
    <t>Кафедра програмної інженерії</t>
  </si>
  <si>
    <t>Кафедра харчової біотехнології і хімії</t>
  </si>
  <si>
    <t>Кафедра будівельної механіки</t>
  </si>
  <si>
    <t>Кафедра автомобілів</t>
  </si>
  <si>
    <t>Кафедра комп'ютерно-інтегрованих технологій</t>
  </si>
  <si>
    <t>Кафедра фізики</t>
  </si>
  <si>
    <t>Кафедра математичних методів в інженерії</t>
  </si>
  <si>
    <t>Кафедра української та іноземних мов</t>
  </si>
  <si>
    <t>Кафедра комп`ютерних систем та мереж</t>
  </si>
  <si>
    <t>Кафедра конструювання верстатів, інструментів та машин</t>
  </si>
  <si>
    <t>Кафедра біотехнічних систем</t>
  </si>
  <si>
    <t>Кафедра українознавства і філософії</t>
  </si>
  <si>
    <t>Кафедра інформатики і математичного моделювання</t>
  </si>
  <si>
    <t>Кафедра приладів і контрольно-вимірювальних систем</t>
  </si>
  <si>
    <t>Кафедра комп'ютерних наук</t>
  </si>
  <si>
    <t>Кафедра електричної інженерії</t>
  </si>
  <si>
    <t>Кафедра економічної кібернетики</t>
  </si>
  <si>
    <t>Кафедра кібербезпеки</t>
  </si>
  <si>
    <t>Кафедра обладнання харчових технологій</t>
  </si>
  <si>
    <t>Кафедра вищої математики</t>
  </si>
  <si>
    <t>Кафедра радіотехнічних систем</t>
  </si>
  <si>
    <t>Кафедра фізичного виховання і спорту</t>
  </si>
  <si>
    <t>Факультет економіки та менеджменту</t>
  </si>
  <si>
    <t>Факультет інженерії машин, споруд та технологій</t>
  </si>
  <si>
    <t>Факультет прикладних інформаційних технологій та електроінженерії</t>
  </si>
  <si>
    <t>Факультет комп'ютерно-інформаційних систем і програмної інженерії</t>
  </si>
  <si>
    <t>Індикатор ефективності видавничої діяльності науково-педагогічних працівників  по кафедрах:</t>
  </si>
  <si>
    <t>Індикатор ефективності видавничої діяльності науково-педагогічних працівників  по факультетах:</t>
  </si>
  <si>
    <t>Індикатор якості науково-педагогічних працівників  по кафедрах:</t>
  </si>
  <si>
    <t>Індикатор якості науково-педагогічних працівників  по факультетах:</t>
  </si>
  <si>
    <t>Факультети</t>
  </si>
  <si>
    <t>Всього:</t>
  </si>
  <si>
    <t>Кількість перем. (ф) – кількість переможців мистецьких конкурсів і спортивних змагань всіх рівнів, крім університетського, (студенти і НПП факультету)</t>
  </si>
  <si>
    <t>Кількість спорт.(ф) – кількість спортсменів, які навчаються на факультеті, мають спортивний розряд або звання</t>
  </si>
  <si>
    <t>К наук.(у) – кошти, отримані на фінансування наукової діяльності університету, тис.грн.</t>
  </si>
  <si>
    <t xml:space="preserve">Всього </t>
  </si>
  <si>
    <t xml:space="preserve">Кількість обм. (у.) – кількість студентів і НПП університету, які брали участь в міжнародних обмінах </t>
  </si>
  <si>
    <t xml:space="preserve">Індикатор між.ак. – індикатор міжнародної активності </t>
  </si>
  <si>
    <t>Всього</t>
  </si>
  <si>
    <t>К з.п.(ф., к) – кількість зовнішніх гіперпосилань на домен сайту факультету чи кафедри</t>
  </si>
  <si>
    <t>К д.з.п.(ф., к) – кількість доменів, з яких надходять зовнішні гіперпосилання на домен сайту факультету чи кафедри</t>
  </si>
  <si>
    <t>К з.п.(у) – кількість зовнішніх гіперпосилань на домен сайту університету</t>
  </si>
  <si>
    <t>К д.з.п.(у) – кількість доменів, з яких надходять зовнішні гіперпосилання на домен сайту університету</t>
  </si>
  <si>
    <t>І Гірша.(ф., к) –значення  індекса Гірша факультету чи кафедри</t>
  </si>
  <si>
    <t>І Гірша у. – індекс Гірша університету</t>
  </si>
  <si>
    <t>К цит.(ф., к) – кількість цитувань наукових праць НПП факультету чи кафедри</t>
  </si>
  <si>
    <t>К цит. у – кількість цитувань наукових праць НПП університету</t>
  </si>
  <si>
    <t>К наук.спец. (к) – кількість наукових спеціальностей, за якими здійснюється підготовка кадрів вищої кваліфікації, що відповідають профілю кафедри, у спеціалізованих вчених радах</t>
  </si>
  <si>
    <t>К спец.рад (у) – кількість наукових спеціальностей у спеціалізованих вчених радах університету</t>
  </si>
  <si>
    <t>Індикатор як.наук.роб – індикатор якості наукової роботи по факультетах</t>
  </si>
  <si>
    <t>І як.осв.проц. – індикатор якості освітнього процесу  по факультетах:</t>
  </si>
  <si>
    <t>К маг., К асп., К докт. (ф., кв) – кількість магістрів, аспірантів, докторантів і здобувачів,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</si>
  <si>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К бак. (ф., кв) – кількість бакалаврів, що навчаються  за всіма спеціальностями факультету чи випускової кафедри станом на 1 жовтня поточного року</t>
  </si>
  <si>
    <t xml:space="preserve">І як.осв.проц. – індикатор якості освітнього процесу </t>
  </si>
  <si>
    <t>І фін.акт. – індикатор фінансової активності по кафедрах:</t>
  </si>
  <si>
    <t>К (ф., к) – кошти спецфонду, отримані від усіх видів діяльності факультету чи кафедри,  крім наукової, тис. грн.</t>
  </si>
  <si>
    <t>І фін.акт. – індикатор фінансової активності по кафедрах</t>
  </si>
  <si>
    <t>І фін.акт. – індикатор фінансової активності  по факультетах:</t>
  </si>
  <si>
    <t>К д.н., Кк.н. (ф., к) – кількість докторів і кандидатів наук, у т.ч. сумісників, що працюють на факультеті чи кафедрі</t>
  </si>
  <si>
    <t>Кнпп (ф., к) – кількість НПП, у т.ч. сумісників, що працюють на факультеті, кафедрі;</t>
  </si>
  <si>
    <t>К інд.грантів (у)  – кількість НПП університету, що отримали індивідуальні гранти (освітні, наукові)</t>
  </si>
  <si>
    <t>(К нпп іноз.мов.) (ф., к) – кількість НПП факультету чи кафедри, які викладали в поточному році навчальні дисципліни іноземною мовою (крім викладачів кафедри української та іноземних мов, які викладали іноземну мову для українських студентів)</t>
  </si>
  <si>
    <t>К нпп В2 (ф.,к) – кількість НПП факультету чи кафедри,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</t>
  </si>
  <si>
    <t>К інд.грантів  (ф., к) – кількість НПП факультету чи кафедри, що отримали індивідуальні гранти (освітні, наукові)</t>
  </si>
  <si>
    <t>К нпп В2 (у) – кількість НПП університету,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студентів).</t>
  </si>
  <si>
    <t>І д.з. – індикатор виконання держзамовлення  по факультетах:</t>
  </si>
  <si>
    <t xml:space="preserve"> І д.з. – індикатор виконання держзамовлення  по кафедрах:</t>
  </si>
  <si>
    <t xml:space="preserve"> І д.з. – індикатор виконання держзамовлення</t>
  </si>
  <si>
    <t>І студ. – індикатор результативності прийому студентів   по факультетах:</t>
  </si>
  <si>
    <t xml:space="preserve"> І студ. – індикатор результативності прийому студентів  по кафедрах:</t>
  </si>
  <si>
    <t xml:space="preserve">І студ. – індикатор результативності прийому студентів  </t>
  </si>
  <si>
    <t xml:space="preserve">І пл.. – індикатор зарахування студентів за кошти фізичних і юридичних осіб </t>
  </si>
  <si>
    <t>І я.п.ф. – індикатор якості підготовки фахівців  по кафедрах:</t>
  </si>
  <si>
    <t>І я.п.ф. – індикатор якості підготовки фахівців  по факультетах:</t>
  </si>
  <si>
    <t>К пер.ол., конк. (ф., к) –  кількість переможців олімпіад, конкурсів факультету, кафедри</t>
  </si>
  <si>
    <t>К пер.ол., конк. (у) –  кількість переможців олімпіад, конкурсів університету</t>
  </si>
  <si>
    <t>К вип.ЗВ (ф., к) – кількість випускників, які отримали дипломи з відзнакою, за всіма освітніми рівнями, формами навчання і спеціальностями факультету чи випускової кафедри</t>
  </si>
  <si>
    <t xml:space="preserve">К вип. (ф., к) – кількість випускників за всіма освітніми рівнями, формами навчання і спеціальностями факультету чи випускової кафедри </t>
  </si>
  <si>
    <t xml:space="preserve">І я.п.ф. – індикатор якості підготовки фахівців </t>
  </si>
  <si>
    <t xml:space="preserve">Якість освітнього процесу </t>
  </si>
  <si>
    <t xml:space="preserve">Рейтинг </t>
  </si>
  <si>
    <t>№ з.п.</t>
  </si>
  <si>
    <t>І Гірша Scopus (у.) –значення індексу Гірша університету за даними наукометричної бази Scopus</t>
  </si>
  <si>
    <t>І Гірша.Scopus (ф., к) –значення індексу Гірша  факультету чи кафедри за даними наукометричної бази Scopus</t>
  </si>
  <si>
    <t>К п.ф. (ф., к) - кількість підписників офіційної сторінки факультету чи кафедри в соціальній мережі facebook;</t>
  </si>
  <si>
    <t>К п.ф. (у) - кількість підписників офіційної сторінки університету в соціальній мережі facebook</t>
  </si>
  <si>
    <t>К спорт. ВК (у) кількість спортсменів, які навчаються в університеті, мають спортивний розряд або звання</t>
  </si>
  <si>
    <t>М.д.з. (у.) – кількість студентів, які зараховані на місця державного замовлення університету на базі повної загальної середньої освіти</t>
  </si>
  <si>
    <t>О.д.з. маг. (у.) – обсяг держзамовлення для вступу у магістратуру, на спеціальності університету</t>
  </si>
  <si>
    <t xml:space="preserve">І пл. – індикатор зарахування студентів за кошти фізичних і юридичних осіб </t>
  </si>
  <si>
    <r>
      <t xml:space="preserve">Індикатор ефективності видавничої діяльності науково-педагогічних працівників </t>
    </r>
    <r>
      <rPr>
        <b/>
        <sz val="16"/>
        <rFont val="Times New Roman"/>
        <family val="1"/>
        <charset val="204"/>
      </rPr>
      <t>(0,2)</t>
    </r>
  </si>
  <si>
    <r>
      <t xml:space="preserve">Індикатор якості науково-педагогічних працівників  </t>
    </r>
    <r>
      <rPr>
        <b/>
        <sz val="16"/>
        <rFont val="Times New Roman"/>
        <family val="1"/>
        <charset val="204"/>
      </rPr>
      <t>(0,1)</t>
    </r>
  </si>
  <si>
    <t xml:space="preserve">Кафедра психології </t>
  </si>
  <si>
    <t>Кафедра психології</t>
  </si>
  <si>
    <r>
      <t xml:space="preserve"> Якість освітнього процесу </t>
    </r>
    <r>
      <rPr>
        <b/>
        <sz val="16"/>
        <rFont val="Times New Roman"/>
        <family val="1"/>
        <charset val="204"/>
      </rPr>
      <t>(0,2)</t>
    </r>
  </si>
  <si>
    <t>І як.осв.проц. – індикатор якості освітнього процесу  по кафедрах:</t>
  </si>
  <si>
    <t>І як.наук.роб – індикатор якості наукової роботи по кафедрах:</t>
  </si>
  <si>
    <t>І як.наук.роб – індикатор якості наукової роботи по факультетах:</t>
  </si>
  <si>
    <t>І між.ак. – індикатор міжнародної активності по кафедрах:</t>
  </si>
  <si>
    <t>І між.ак. – індикатор міжнародної активності  по факультетах:</t>
  </si>
  <si>
    <t>І фін. наук. діяльн. – індикатор фінансування наукової діяльності по факультетах</t>
  </si>
  <si>
    <t>І фін. наук. діяльн. – індикатор фінансування наукової діяльності по кафедрах:</t>
  </si>
  <si>
    <t>І веб.пок. – індикатор вебометричних показників  по кафедрах:</t>
  </si>
  <si>
    <t>І веб.пок. – індикатор вебометричних показників по факультетах:</t>
  </si>
  <si>
    <t>І к-м., с.роб. (визначають для факультету) - індикатор якості культурно-мистецької і спортивної роботи:</t>
  </si>
  <si>
    <t>Якість освітнього процесу по кафедрах:</t>
  </si>
  <si>
    <t>Якість освітнього процесу по факультетах:</t>
  </si>
  <si>
    <t>І п.л. – індикатор зарахування студентів за кошти фізичних і юридичних осіб по факультетах:</t>
  </si>
  <si>
    <t>Факультет</t>
  </si>
  <si>
    <t xml:space="preserve">Індикатор якості науково-педагогічних працівників  </t>
  </si>
  <si>
    <t>І фін.акт. – індикатор фінансової активності по факультетах</t>
  </si>
  <si>
    <t>Кафедра інжинірингу машинобудівних технологій</t>
  </si>
  <si>
    <t xml:space="preserve">Кількість обм. (ф.,к) – кількість студентів і НПП  кафедри, які брали участь в міжнародних обмінах </t>
  </si>
  <si>
    <t xml:space="preserve">Кількість обм. (ф.,к) – кількість студентів і НПП факультету, які брали участь в міжнародних обмінах </t>
  </si>
  <si>
    <t>К перем. (у) - кількість переможців університету мистецьких конкурсів і спортивних змагань всіх рівнів, крім університетського, (студенти і НПП університету)</t>
  </si>
  <si>
    <t>№ з.п</t>
  </si>
  <si>
    <t>№
з.п.</t>
  </si>
  <si>
    <t>О.д.з. маг. (у.) – обсяг держзамовлення для вступу у магістратуру на спеціальності університету</t>
  </si>
  <si>
    <t xml:space="preserve">І веб.пок. – індикатор вебометричних показників  по кафедрах </t>
  </si>
  <si>
    <t>№ з/п</t>
  </si>
  <si>
    <t xml:space="preserve">І між.ак. – індикатор міжнародної активності </t>
  </si>
  <si>
    <t xml:space="preserve">І к-м., с.роб. (визначають для факультету) – індикатор якості культурно-мистецької і спортивної роботи </t>
  </si>
  <si>
    <t>І фін. наук. діяльн. – індикатор фінансування наукової діяльності по кафедрах</t>
  </si>
  <si>
    <t>І як.наук.роб – індикатор якості наукової роботи по кафедрах</t>
  </si>
  <si>
    <t>І як. НПП - індикатор якості науково-педагогічних працівників  по кафедрах</t>
  </si>
  <si>
    <t>І еф. НПП -
індикатор ефективності видавничої діяльності науково-педагогічних працівників</t>
  </si>
  <si>
    <t>І Гірша Scopus (у.)  – значення індексу Гірша університету за даними наукометричної бази Scopus</t>
  </si>
  <si>
    <r>
      <t xml:space="preserve">Індикатор міжнародної активності </t>
    </r>
    <r>
      <rPr>
        <b/>
        <sz val="16"/>
        <rFont val="Times New Roman"/>
        <family val="1"/>
        <charset val="204"/>
      </rPr>
      <t>(0,1)</t>
    </r>
  </si>
  <si>
    <r>
      <t xml:space="preserve">Індикатор вебометричних показників  </t>
    </r>
    <r>
      <rPr>
        <b/>
        <sz val="16"/>
        <rFont val="Times New Roman"/>
        <family val="1"/>
        <charset val="204"/>
      </rPr>
      <t>(0,05)</t>
    </r>
  </si>
  <si>
    <r>
      <t xml:space="preserve">Індикатор якості культурно-мистецької і спортивної роботи (визначають для факультету) </t>
    </r>
    <r>
      <rPr>
        <b/>
        <sz val="16"/>
        <rFont val="Times New Roman"/>
        <family val="1"/>
        <charset val="204"/>
      </rPr>
      <t>(0,05)</t>
    </r>
  </si>
  <si>
    <t>К студ.ПЗСО– кількість студентів, які вступили на базі повної загальної середньої освіти на місця державного замовлення на спеціальності факультету чи випускової кафедри</t>
  </si>
  <si>
    <t>К маг. (ф., кв) – кількість магістрів, у т.ч. іноземних, зарахованих за всіма формами навчання і спеціальностями на місця державного замовлення факультету станом на 1 жовтня поточного року</t>
  </si>
  <si>
    <t>І веб.пок. – індикатор вебометричних показників  по факультетах</t>
  </si>
  <si>
    <t>К наук. (ф., к) – кошти, отримані на фінансування наукової діяльності факультету, тис.грн.</t>
  </si>
  <si>
    <t>К наук. (ф., к) – кошти, отримані на фінансування наукової діяльності кафедри, тис.грн.</t>
  </si>
  <si>
    <r>
      <t xml:space="preserve">Індикатор якості наукової роботи 
</t>
    </r>
    <r>
      <rPr>
        <b/>
        <sz val="16"/>
        <rFont val="Times New Roman"/>
        <family val="1"/>
        <charset val="204"/>
      </rPr>
      <t>(0,2)</t>
    </r>
  </si>
  <si>
    <r>
      <t xml:space="preserve">Індикатор якості наукової роботи
 </t>
    </r>
    <r>
      <rPr>
        <b/>
        <sz val="16"/>
        <rFont val="Times New Roman"/>
        <family val="1"/>
        <charset val="204"/>
      </rPr>
      <t>(0,2)</t>
    </r>
  </si>
  <si>
    <r>
      <t xml:space="preserve">Індикатор фінансування наукової діяльності </t>
    </r>
    <r>
      <rPr>
        <b/>
        <sz val="16"/>
        <rFont val="Times New Roman"/>
        <family val="1"/>
        <charset val="204"/>
      </rPr>
      <t>(0,1)</t>
    </r>
  </si>
  <si>
    <t>№
з/п</t>
  </si>
  <si>
    <r>
      <t>Індикатор фінансової активності</t>
    </r>
    <r>
      <rPr>
        <sz val="1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(0,1)</t>
    </r>
  </si>
  <si>
    <r>
      <t>Індикатор фінансової активності</t>
    </r>
    <r>
      <rPr>
        <sz val="10"/>
        <rFont val="Times New Roman"/>
        <family val="1"/>
        <charset val="204"/>
      </rPr>
      <t xml:space="preserve">
 </t>
    </r>
    <r>
      <rPr>
        <b/>
        <sz val="16"/>
        <rFont val="Times New Roman"/>
        <family val="1"/>
        <charset val="204"/>
      </rPr>
      <t>(0,1)</t>
    </r>
  </si>
  <si>
    <t>І Гірша.Scopus (ф., к) –значення індексу Гірша кафедри за даними наукометричної бази Scopus</t>
  </si>
  <si>
    <t>РЕЙТИНГ КАФЕДР ТА ФАКУЛЬТЕТІВ</t>
  </si>
  <si>
    <t>І пл.– індикатор зарахування студентів за кошти фізичних і юридичних осіб по кафедрах:</t>
  </si>
  <si>
    <t>№ 
з.п.</t>
  </si>
  <si>
    <t>К студ.ОКР (ф., кв)  – кількість студентів, які вступили на базі ОКР «молодший спеціаліст», ОС «молодший бакалавр», ОПС «фаховий молодший бакалавр»  на місця державного замовлення  на спеціальності факультету чи випускової кафедри</t>
  </si>
  <si>
    <t>О.д.з. ОКР (у.) – обсяг держзамовлення для вступу на базі ОКР «молодший спеціаліст», ОС «молодший бакалавр», ОПС «фаховий молодший бакалавр» на спеціальності університету</t>
  </si>
  <si>
    <t>К студ.бак. (ф., кв)  – кількість студентів, зарахованих для здобуття ступеня бакалавра на спеціальності факультету чи випускової кафедри</t>
  </si>
  <si>
    <t>К студ.маг. (ф., кв)  – кількість студентів, зарахованих для здобуття ступеня магістра на спеціальності факультету чи випускової кафедри</t>
  </si>
  <si>
    <t>К ліц. бак (ф., кв) – ліцензований обсяг прийому за першим (бакалаврським) рівнем</t>
  </si>
  <si>
    <t>К ліц. маг (ф., кв) – ліцензований обсяг прийому за другим (магістерським) рівнем</t>
  </si>
  <si>
    <t>К пл.бак. (ф., кв) – кількість студентів, зарахованих на навчання за кошти фізичних і юридичних осіб, в т.ч. іноземних, для здобуття ступеня бакалавра на спеціальності факультету чи випускової кафедри;</t>
  </si>
  <si>
    <t>К пл.маг. (ф., кв) – кількість студентів, зарахованих на навчання за кошти фізичних і юридичних осіб, в т.ч. іноземних, для здобуття ступеня магістра на спеціальності факультету чи випускової кафедри;</t>
  </si>
  <si>
    <t>К д.з.бак. – кількість студентів, зарахованих на місця держзамовлення для здобуття ступеня бакалавра на спеціальності факультету чи випускової кафедри</t>
  </si>
  <si>
    <t>К д.з.маг. – кількість студентів, зарахованих на місця держзамовлення для здобуття ступеня магістра на спеціальності факультету чи випускової кафедри</t>
  </si>
  <si>
    <t>СФ(у) – кошти спецфонду, отримані від надання освітніх послуг університету, крім наукової, тис. грн.</t>
  </si>
  <si>
    <t>К студ.ПЗСО– кількість студентів, які вступили на базі повної загальної середньої освіти 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</si>
  <si>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спеціаліст», ОС «молодший бакалавр», ОПС «фаховий молодший бакалавр»  на місця державного замовлення на спеціальності факультету чи випускової кафедри</t>
  </si>
  <si>
    <t>К маг. (ф., кв) – кількість магістрів, у т.ч. іноземних, зарахованих за всіма формами навчання і спеціальностями  кафедри на місця державного замовлення станом на 1 жовтня поточного року</t>
  </si>
  <si>
    <t>К пер.ол., конк. (ф., к) –  кількість переможців олімпіад, конкурсів факультету</t>
  </si>
  <si>
    <t xml:space="preserve">К вип.ЗВ (ф., к) – кількість випускників, які отримали дипломи з відзнакою, за всіма освітніми рівнями, формами навчання і спеціальностями факультету </t>
  </si>
  <si>
    <t xml:space="preserve">К вип. (ф., к) – кількість випускників за всіма освітніми рівнями, формами навчання і спеціальностями факультету  </t>
  </si>
  <si>
    <t>К Публ.Scopus (ф,к) – сума кількості наукових праць штатних НПП факультету чи кафедри проіндексованих у наукометричній базі Scopus</t>
  </si>
  <si>
    <t>К Публ.Scopus (у) – кількість наукових праць НПП університету за даними Scopus</t>
  </si>
  <si>
    <t>К Цит.Scopus (ф,к) – сума кількості цитувань наукових праць штатних НПП факультету чи кафедри проіндексованих у наукометричній базі Scopus</t>
  </si>
  <si>
    <t>К Цит.Scopus (у) – кількість цитувань наукових праць НПП університету за даними Scopus</t>
  </si>
  <si>
    <t>К Цит.Scholar (ф,к) – сума кількості цитувань наукових та навчально-методичних праць штатних НПП факультету чи кафедри проіндексованих у базі Google Scholar</t>
  </si>
  <si>
    <t>К Цит.Scholar (у) – кількість цитувань наукових та навчально-методичних праць НПП університету за даними Google Scholar</t>
  </si>
  <si>
    <t>Кафедра констр. верстатів, інструментів та машин</t>
  </si>
  <si>
    <t>Кафедра автомат.ї технологічних процесів та виробн.</t>
  </si>
  <si>
    <t>Кафедра технічної механіки та с/г машин</t>
  </si>
</sst>
</file>

<file path=xl/styles.xml><?xml version="1.0" encoding="utf-8"?>
<styleSheet xmlns="http://schemas.openxmlformats.org/spreadsheetml/2006/main">
  <numFmts count="5">
    <numFmt numFmtId="164" formatCode="_-* #,##0.00\ _г_р_н_._-;\-* #,##0.00\ _г_р_н_._-;_-* &quot;-&quot;??\ _г_р_н_._-;_-@_-"/>
    <numFmt numFmtId="165" formatCode="0.000"/>
    <numFmt numFmtId="166" formatCode="0.0"/>
    <numFmt numFmtId="167" formatCode="_-* #,##0.0\ _г_р_н_._-;\-* #,##0.0\ _г_р_н_._-;_-* &quot;-&quot;??\ _г_р_н_._-;_-@_-"/>
    <numFmt numFmtId="168" formatCode="0.0000"/>
  </numFmts>
  <fonts count="23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0"/>
      <color indexed="2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1"/>
      <name val="Arial Cyr"/>
      <charset val="204"/>
    </font>
    <font>
      <sz val="12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49" fontId="2" fillId="2" borderId="1" xfId="0" applyNumberFormat="1" applyFont="1" applyFill="1" applyBorder="1" applyAlignment="1">
      <alignment wrapText="1"/>
    </xf>
    <xf numFmtId="49" fontId="4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/>
    <xf numFmtId="0" fontId="6" fillId="0" borderId="0" xfId="0" applyFont="1"/>
    <xf numFmtId="49" fontId="2" fillId="0" borderId="1" xfId="0" applyNumberFormat="1" applyFont="1" applyFill="1" applyBorder="1" applyAlignment="1">
      <alignment wrapText="1"/>
    </xf>
    <xf numFmtId="0" fontId="0" fillId="0" borderId="0" xfId="0" applyFill="1"/>
    <xf numFmtId="0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1" xfId="0" applyNumberForma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10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0" fontId="0" fillId="0" borderId="1" xfId="0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1" fontId="2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2" fontId="7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167" fontId="6" fillId="0" borderId="1" xfId="1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2" fontId="6" fillId="0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0" fillId="3" borderId="0" xfId="0" applyFill="1"/>
    <xf numFmtId="49" fontId="4" fillId="3" borderId="0" xfId="0" applyNumberFormat="1" applyFont="1" applyFill="1" applyAlignment="1">
      <alignment wrapText="1"/>
    </xf>
    <xf numFmtId="49" fontId="0" fillId="3" borderId="0" xfId="0" applyNumberFormat="1" applyFill="1"/>
    <xf numFmtId="0" fontId="8" fillId="0" borderId="3" xfId="0" applyFont="1" applyBorder="1"/>
    <xf numFmtId="2" fontId="0" fillId="0" borderId="3" xfId="0" applyNumberFormat="1" applyBorder="1"/>
    <xf numFmtId="49" fontId="3" fillId="3" borderId="0" xfId="0" applyNumberFormat="1" applyFont="1" applyFill="1"/>
    <xf numFmtId="0" fontId="6" fillId="0" borderId="1" xfId="0" applyFont="1" applyBorder="1"/>
    <xf numFmtId="2" fontId="3" fillId="3" borderId="1" xfId="0" applyNumberFormat="1" applyFont="1" applyFill="1" applyBorder="1"/>
    <xf numFmtId="49" fontId="2" fillId="0" borderId="3" xfId="0" applyNumberFormat="1" applyFont="1" applyFill="1" applyBorder="1" applyAlignment="1">
      <alignment wrapText="1"/>
    </xf>
    <xf numFmtId="0" fontId="6" fillId="0" borderId="1" xfId="0" applyFont="1" applyFill="1" applyBorder="1"/>
    <xf numFmtId="49" fontId="8" fillId="0" borderId="3" xfId="0" applyNumberFormat="1" applyFont="1" applyBorder="1"/>
    <xf numFmtId="49" fontId="2" fillId="2" borderId="3" xfId="0" applyNumberFormat="1" applyFont="1" applyFill="1" applyBorder="1" applyAlignment="1">
      <alignment wrapText="1"/>
    </xf>
    <xf numFmtId="0" fontId="11" fillId="0" borderId="0" xfId="0" applyFont="1"/>
    <xf numFmtId="0" fontId="11" fillId="0" borderId="0" xfId="0" applyFont="1" applyBorder="1"/>
    <xf numFmtId="0" fontId="7" fillId="5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9" fontId="14" fillId="0" borderId="0" xfId="0" applyNumberFormat="1" applyFont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2" fontId="8" fillId="0" borderId="3" xfId="0" applyNumberFormat="1" applyFont="1" applyBorder="1"/>
    <xf numFmtId="49" fontId="2" fillId="2" borderId="3" xfId="0" applyNumberFormat="1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/>
    <xf numFmtId="2" fontId="7" fillId="0" borderId="3" xfId="0" applyNumberFormat="1" applyFont="1" applyBorder="1"/>
    <xf numFmtId="0" fontId="3" fillId="0" borderId="1" xfId="0" applyFont="1" applyBorder="1"/>
    <xf numFmtId="49" fontId="14" fillId="0" borderId="1" xfId="0" applyNumberFormat="1" applyFont="1" applyBorder="1" applyAlignment="1">
      <alignment wrapText="1"/>
    </xf>
    <xf numFmtId="49" fontId="14" fillId="3" borderId="0" xfId="0" applyNumberFormat="1" applyFont="1" applyFill="1" applyAlignment="1">
      <alignment wrapText="1"/>
    </xf>
    <xf numFmtId="49" fontId="14" fillId="3" borderId="1" xfId="0" applyNumberFormat="1" applyFont="1" applyFill="1" applyBorder="1" applyAlignment="1">
      <alignment wrapText="1"/>
    </xf>
    <xf numFmtId="0" fontId="3" fillId="3" borderId="0" xfId="0" applyFont="1" applyFill="1"/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49" fontId="15" fillId="0" borderId="0" xfId="0" applyNumberFormat="1" applyFont="1"/>
    <xf numFmtId="0" fontId="0" fillId="0" borderId="1" xfId="0" applyFill="1" applyBorder="1"/>
    <xf numFmtId="49" fontId="8" fillId="0" borderId="1" xfId="0" applyNumberFormat="1" applyFont="1" applyFill="1" applyBorder="1"/>
    <xf numFmtId="2" fontId="0" fillId="0" borderId="1" xfId="0" applyNumberFormat="1" applyFill="1" applyBorder="1"/>
    <xf numFmtId="1" fontId="2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10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7" fillId="5" borderId="1" xfId="0" applyNumberFormat="1" applyFont="1" applyFill="1" applyBorder="1" applyAlignment="1">
      <alignment horizontal="center" wrapText="1"/>
    </xf>
    <xf numFmtId="0" fontId="9" fillId="4" borderId="1" xfId="0" applyNumberFormat="1" applyFont="1" applyFill="1" applyBorder="1" applyAlignment="1"/>
    <xf numFmtId="0" fontId="7" fillId="5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1" fontId="2" fillId="0" borderId="5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6" borderId="0" xfId="0" applyFill="1"/>
    <xf numFmtId="49" fontId="14" fillId="6" borderId="0" xfId="0" applyNumberFormat="1" applyFont="1" applyFill="1" applyAlignment="1">
      <alignment wrapText="1"/>
    </xf>
    <xf numFmtId="49" fontId="3" fillId="6" borderId="0" xfId="0" applyNumberFormat="1" applyFont="1" applyFill="1"/>
    <xf numFmtId="0" fontId="3" fillId="6" borderId="0" xfId="0" applyFont="1" applyFill="1"/>
    <xf numFmtId="1" fontId="8" fillId="0" borderId="3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1" fontId="8" fillId="0" borderId="1" xfId="1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1" fontId="10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49" fontId="14" fillId="0" borderId="6" xfId="0" applyNumberFormat="1" applyFont="1" applyBorder="1" applyAlignment="1">
      <alignment horizontal="left" wrapText="1"/>
    </xf>
    <xf numFmtId="49" fontId="8" fillId="0" borderId="0" xfId="0" applyNumberFormat="1" applyFont="1" applyBorder="1"/>
    <xf numFmtId="2" fontId="8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4" fillId="0" borderId="6" xfId="0" applyNumberFormat="1" applyFont="1" applyBorder="1" applyAlignment="1">
      <alignment wrapText="1"/>
    </xf>
    <xf numFmtId="1" fontId="6" fillId="0" borderId="2" xfId="0" applyNumberFormat="1" applyFont="1" applyFill="1" applyBorder="1" applyAlignment="1">
      <alignment horizontal="center" wrapText="1"/>
    </xf>
    <xf numFmtId="0" fontId="0" fillId="0" borderId="0" xfId="0" applyBorder="1"/>
    <xf numFmtId="1" fontId="0" fillId="0" borderId="0" xfId="0" applyNumberFormat="1" applyBorder="1"/>
    <xf numFmtId="1" fontId="8" fillId="0" borderId="0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165" fontId="0" fillId="0" borderId="0" xfId="0" applyNumberFormat="1"/>
    <xf numFmtId="4" fontId="6" fillId="0" borderId="1" xfId="0" applyNumberFormat="1" applyFont="1" applyBorder="1" applyAlignment="1">
      <alignment horizontal="right"/>
    </xf>
    <xf numFmtId="1" fontId="0" fillId="0" borderId="0" xfId="0" applyNumberFormat="1"/>
    <xf numFmtId="0" fontId="0" fillId="0" borderId="0" xfId="0" applyAlignment="1">
      <alignment horizontal="right"/>
    </xf>
    <xf numFmtId="49" fontId="6" fillId="0" borderId="1" xfId="0" applyNumberFormat="1" applyFont="1" applyFill="1" applyBorder="1" applyAlignment="1">
      <alignment wrapText="1"/>
    </xf>
    <xf numFmtId="1" fontId="19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right"/>
    </xf>
    <xf numFmtId="2" fontId="20" fillId="0" borderId="1" xfId="0" applyNumberFormat="1" applyFont="1" applyBorder="1"/>
    <xf numFmtId="2" fontId="20" fillId="0" borderId="0" xfId="0" applyNumberFormat="1" applyFont="1"/>
    <xf numFmtId="4" fontId="8" fillId="2" borderId="1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20" fillId="0" borderId="0" xfId="0" applyFont="1" applyBorder="1"/>
    <xf numFmtId="2" fontId="6" fillId="7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8" fontId="0" fillId="0" borderId="0" xfId="0" applyNumberFormat="1"/>
    <xf numFmtId="165" fontId="2" fillId="0" borderId="1" xfId="0" applyNumberFormat="1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2" fillId="6" borderId="1" xfId="0" applyNumberFormat="1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6" borderId="4" xfId="0" applyFont="1" applyFill="1" applyBorder="1" applyAlignment="1">
      <alignment wrapText="1"/>
    </xf>
    <xf numFmtId="0" fontId="14" fillId="3" borderId="6" xfId="0" applyFont="1" applyFill="1" applyBorder="1" applyAlignment="1">
      <alignment horizontal="center" wrapText="1"/>
    </xf>
    <xf numFmtId="0" fontId="9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0" zoomScaleNormal="80" zoomScaleSheetLayoutView="75" workbookViewId="0">
      <selection activeCell="K2" sqref="K2"/>
    </sheetView>
  </sheetViews>
  <sheetFormatPr defaultRowHeight="12.75"/>
  <cols>
    <col min="1" max="1" width="4" customWidth="1"/>
    <col min="2" max="2" width="63.5703125" customWidth="1"/>
    <col min="3" max="4" width="13.7109375" customWidth="1"/>
    <col min="5" max="5" width="12.28515625" customWidth="1"/>
    <col min="6" max="6" width="12.5703125" customWidth="1"/>
    <col min="7" max="7" width="12.42578125" customWidth="1"/>
    <col min="8" max="8" width="16" customWidth="1"/>
    <col min="9" max="9" width="13.140625" customWidth="1"/>
    <col min="10" max="10" width="13.42578125" customWidth="1"/>
    <col min="11" max="11" width="15.85546875" customWidth="1"/>
    <col min="12" max="12" width="14.140625" customWidth="1"/>
  </cols>
  <sheetData>
    <row r="1" spans="1:12" ht="20.25">
      <c r="A1" s="166" t="s">
        <v>153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140.25" customHeight="1">
      <c r="A2" s="106" t="s">
        <v>149</v>
      </c>
      <c r="B2" s="51" t="s">
        <v>0</v>
      </c>
      <c r="C2" s="97" t="s">
        <v>101</v>
      </c>
      <c r="D2" s="97" t="s">
        <v>102</v>
      </c>
      <c r="E2" s="97" t="s">
        <v>105</v>
      </c>
      <c r="F2" s="97" t="s">
        <v>147</v>
      </c>
      <c r="G2" s="97" t="s">
        <v>138</v>
      </c>
      <c r="H2" s="97" t="s">
        <v>150</v>
      </c>
      <c r="I2" s="97" t="s">
        <v>148</v>
      </c>
      <c r="J2" s="97" t="s">
        <v>139</v>
      </c>
      <c r="K2" s="170" t="s">
        <v>91</v>
      </c>
      <c r="L2" s="50"/>
    </row>
    <row r="3" spans="1:12" ht="22.5" customHeight="1">
      <c r="A3" s="43">
        <v>1</v>
      </c>
      <c r="B3" s="1" t="s">
        <v>122</v>
      </c>
      <c r="C3" s="12">
        <v>0.61</v>
      </c>
      <c r="D3" s="35">
        <v>0.92</v>
      </c>
      <c r="E3" s="35">
        <v>0.98</v>
      </c>
      <c r="F3" s="35">
        <v>1.84</v>
      </c>
      <c r="G3" s="35">
        <v>0.01</v>
      </c>
      <c r="H3" s="52">
        <v>5.8999999999999997E-2</v>
      </c>
      <c r="I3" s="52">
        <v>3.4000000000000002E-2</v>
      </c>
      <c r="J3" s="35">
        <v>0.06</v>
      </c>
      <c r="K3" s="53">
        <f t="shared" ref="K3:K33" si="0">0.2*C3+0.1*D3+0.2*E3+0.2*F3+0.1*G3+0.1*(H3+I3)+0.05*J3</f>
        <v>0.7913</v>
      </c>
      <c r="L3" s="50"/>
    </row>
    <row r="4" spans="1:12" ht="15.75" customHeight="1">
      <c r="A4" s="43">
        <v>2</v>
      </c>
      <c r="B4" s="1" t="s">
        <v>5</v>
      </c>
      <c r="C4" s="12">
        <v>1.19</v>
      </c>
      <c r="D4" s="35">
        <v>0.93</v>
      </c>
      <c r="E4" s="35">
        <v>0.83</v>
      </c>
      <c r="F4" s="35">
        <v>0.76</v>
      </c>
      <c r="G4" s="35">
        <v>0.05</v>
      </c>
      <c r="H4" s="52">
        <v>7.0000000000000001E-3</v>
      </c>
      <c r="I4" s="52">
        <v>0.13300000000000001</v>
      </c>
      <c r="J4" s="35">
        <v>0.11</v>
      </c>
      <c r="K4" s="53">
        <f t="shared" si="0"/>
        <v>0.67349999999999999</v>
      </c>
      <c r="L4" s="50"/>
    </row>
    <row r="5" spans="1:12" ht="12.75" customHeight="1">
      <c r="A5" s="43">
        <v>3</v>
      </c>
      <c r="B5" s="1" t="s">
        <v>14</v>
      </c>
      <c r="C5" s="12">
        <v>0.24</v>
      </c>
      <c r="D5" s="35">
        <v>1.0900000000000001</v>
      </c>
      <c r="E5" s="35">
        <v>1.0900000000000001</v>
      </c>
      <c r="F5" s="35">
        <v>0.89</v>
      </c>
      <c r="G5" s="35">
        <v>0.09</v>
      </c>
      <c r="H5" s="52">
        <v>4.5999999999999999E-2</v>
      </c>
      <c r="I5" s="52">
        <v>2.3E-2</v>
      </c>
      <c r="J5" s="35">
        <v>0.05</v>
      </c>
      <c r="K5" s="53">
        <f t="shared" si="0"/>
        <v>0.57140000000000002</v>
      </c>
      <c r="L5" s="50"/>
    </row>
    <row r="6" spans="1:12" ht="15.75">
      <c r="A6" s="43">
        <v>4</v>
      </c>
      <c r="B6" s="1" t="s">
        <v>13</v>
      </c>
      <c r="C6" s="12">
        <v>0.31</v>
      </c>
      <c r="D6" s="35">
        <v>1.57</v>
      </c>
      <c r="E6" s="35">
        <v>0.73</v>
      </c>
      <c r="F6" s="35">
        <v>0.71</v>
      </c>
      <c r="G6" s="35">
        <v>0.01</v>
      </c>
      <c r="H6" s="52">
        <v>9.0999999999999998E-2</v>
      </c>
      <c r="I6" s="52">
        <v>0.14399999999999999</v>
      </c>
      <c r="J6" s="35">
        <v>0.15</v>
      </c>
      <c r="K6" s="53">
        <f t="shared" si="0"/>
        <v>0.53899999999999992</v>
      </c>
      <c r="L6" s="50"/>
    </row>
    <row r="7" spans="1:12" ht="17.25" customHeight="1">
      <c r="A7" s="43">
        <v>5</v>
      </c>
      <c r="B7" s="1" t="s">
        <v>11</v>
      </c>
      <c r="C7" s="12">
        <v>0.86</v>
      </c>
      <c r="D7" s="35">
        <v>0.89</v>
      </c>
      <c r="E7" s="35">
        <v>0.64</v>
      </c>
      <c r="F7" s="35">
        <v>0.62</v>
      </c>
      <c r="G7" s="35">
        <v>0</v>
      </c>
      <c r="H7" s="52">
        <v>3.5999999999999997E-2</v>
      </c>
      <c r="I7" s="52">
        <v>0.16700000000000001</v>
      </c>
      <c r="J7" s="35">
        <v>7.0000000000000007E-2</v>
      </c>
      <c r="K7" s="53">
        <f t="shared" si="0"/>
        <v>0.53679999999999994</v>
      </c>
      <c r="L7" s="50"/>
    </row>
    <row r="8" spans="1:12" ht="15.75">
      <c r="A8" s="43">
        <v>6</v>
      </c>
      <c r="B8" s="1" t="s">
        <v>25</v>
      </c>
      <c r="C8" s="12">
        <v>0.22</v>
      </c>
      <c r="D8" s="35">
        <v>1.41</v>
      </c>
      <c r="E8" s="35">
        <v>0.86</v>
      </c>
      <c r="F8" s="35">
        <v>0.72</v>
      </c>
      <c r="G8" s="35">
        <v>0.09</v>
      </c>
      <c r="H8" s="52">
        <v>4.3999999999999997E-2</v>
      </c>
      <c r="I8" s="52">
        <v>8.5999999999999993E-2</v>
      </c>
      <c r="J8" s="35">
        <v>0.21</v>
      </c>
      <c r="K8" s="53">
        <f t="shared" si="0"/>
        <v>0.53349999999999997</v>
      </c>
      <c r="L8" s="50"/>
    </row>
    <row r="9" spans="1:12" ht="15.75">
      <c r="A9" s="43">
        <v>7</v>
      </c>
      <c r="B9" s="1" t="s">
        <v>7</v>
      </c>
      <c r="C9" s="12">
        <v>1.28</v>
      </c>
      <c r="D9" s="35">
        <v>1.1399999999999999</v>
      </c>
      <c r="E9" s="35">
        <v>0.19</v>
      </c>
      <c r="F9" s="35">
        <v>0.25</v>
      </c>
      <c r="G9" s="35">
        <v>0</v>
      </c>
      <c r="H9" s="52">
        <v>1.0999999999999999E-2</v>
      </c>
      <c r="I9" s="52">
        <v>1.2E-2</v>
      </c>
      <c r="J9" s="35">
        <v>0.02</v>
      </c>
      <c r="K9" s="53">
        <f t="shared" si="0"/>
        <v>0.46130000000000004</v>
      </c>
      <c r="L9" s="50"/>
    </row>
    <row r="10" spans="1:12" ht="15.75">
      <c r="A10" s="43">
        <v>8</v>
      </c>
      <c r="B10" s="1" t="s">
        <v>9</v>
      </c>
      <c r="C10" s="12">
        <v>0.85</v>
      </c>
      <c r="D10" s="35">
        <v>1.1599999999999999</v>
      </c>
      <c r="E10" s="35">
        <v>0.48</v>
      </c>
      <c r="F10" s="35">
        <v>0.25</v>
      </c>
      <c r="G10" s="35">
        <v>0</v>
      </c>
      <c r="H10" s="52">
        <v>2.9000000000000001E-2</v>
      </c>
      <c r="I10" s="52">
        <v>0</v>
      </c>
      <c r="J10" s="35">
        <v>0.04</v>
      </c>
      <c r="K10" s="53">
        <f t="shared" si="0"/>
        <v>0.43690000000000001</v>
      </c>
      <c r="L10" s="50"/>
    </row>
    <row r="11" spans="1:12" ht="15.75">
      <c r="A11" s="43">
        <v>9</v>
      </c>
      <c r="B11" s="1" t="s">
        <v>19</v>
      </c>
      <c r="C11" s="12">
        <v>0.2</v>
      </c>
      <c r="D11" s="35">
        <v>1.21</v>
      </c>
      <c r="E11" s="35">
        <v>0.77</v>
      </c>
      <c r="F11" s="35">
        <v>0.47</v>
      </c>
      <c r="G11" s="35">
        <v>0.1</v>
      </c>
      <c r="H11" s="52">
        <v>7.1999999999999995E-2</v>
      </c>
      <c r="I11" s="52">
        <v>5.0000000000000001E-3</v>
      </c>
      <c r="J11" s="35">
        <v>0.12</v>
      </c>
      <c r="K11" s="53">
        <f t="shared" si="0"/>
        <v>0.43270000000000003</v>
      </c>
      <c r="L11" s="50"/>
    </row>
    <row r="12" spans="1:12" ht="16.5" customHeight="1">
      <c r="A12" s="43">
        <v>10</v>
      </c>
      <c r="B12" s="1" t="s">
        <v>21</v>
      </c>
      <c r="C12" s="12">
        <v>0.25</v>
      </c>
      <c r="D12" s="35">
        <v>1.66</v>
      </c>
      <c r="E12" s="35">
        <v>0.83</v>
      </c>
      <c r="F12" s="35">
        <v>0.14000000000000001</v>
      </c>
      <c r="G12" s="35">
        <v>0.04</v>
      </c>
      <c r="H12" s="52">
        <v>1.9E-2</v>
      </c>
      <c r="I12" s="52">
        <v>8.0000000000000002E-3</v>
      </c>
      <c r="J12" s="35">
        <v>0.1</v>
      </c>
      <c r="K12" s="53">
        <f t="shared" si="0"/>
        <v>0.42170000000000002</v>
      </c>
      <c r="L12" s="50"/>
    </row>
    <row r="13" spans="1:12" ht="16.5" customHeight="1">
      <c r="A13" s="43">
        <v>11</v>
      </c>
      <c r="B13" s="1" t="s">
        <v>17</v>
      </c>
      <c r="C13" s="12">
        <v>7.0000000000000007E-2</v>
      </c>
      <c r="D13" s="35">
        <v>1.02</v>
      </c>
      <c r="E13" s="35">
        <v>1.01</v>
      </c>
      <c r="F13" s="35">
        <v>0.41</v>
      </c>
      <c r="G13" s="35">
        <v>0.01</v>
      </c>
      <c r="H13" s="52">
        <v>2.3E-2</v>
      </c>
      <c r="I13" s="52">
        <v>0.114</v>
      </c>
      <c r="J13" s="35">
        <v>0.09</v>
      </c>
      <c r="K13" s="53">
        <f t="shared" si="0"/>
        <v>0.41920000000000002</v>
      </c>
      <c r="L13" s="50"/>
    </row>
    <row r="14" spans="1:12" ht="15.75">
      <c r="A14" s="43">
        <v>12</v>
      </c>
      <c r="B14" s="1" t="s">
        <v>10</v>
      </c>
      <c r="C14" s="12">
        <v>0.32</v>
      </c>
      <c r="D14" s="35">
        <v>1.33</v>
      </c>
      <c r="E14" s="35">
        <v>0.53</v>
      </c>
      <c r="F14" s="35">
        <v>0.28999999999999998</v>
      </c>
      <c r="G14" s="35">
        <v>0.08</v>
      </c>
      <c r="H14" s="52">
        <v>3.7999999999999999E-2</v>
      </c>
      <c r="I14" s="52">
        <v>1.6E-2</v>
      </c>
      <c r="J14" s="35">
        <v>0.2</v>
      </c>
      <c r="K14" s="53">
        <f t="shared" si="0"/>
        <v>0.38440000000000007</v>
      </c>
      <c r="L14" s="50"/>
    </row>
    <row r="15" spans="1:12" ht="15.75">
      <c r="A15" s="43">
        <v>13</v>
      </c>
      <c r="B15" s="1" t="s">
        <v>12</v>
      </c>
      <c r="C15" s="12">
        <v>0.32</v>
      </c>
      <c r="D15" s="35">
        <v>1.03</v>
      </c>
      <c r="E15" s="35">
        <v>0.66</v>
      </c>
      <c r="F15" s="35">
        <v>0.35</v>
      </c>
      <c r="G15" s="35">
        <v>0.08</v>
      </c>
      <c r="H15" s="52">
        <v>1.7000000000000001E-2</v>
      </c>
      <c r="I15" s="52">
        <v>0</v>
      </c>
      <c r="J15" s="35">
        <v>0.09</v>
      </c>
      <c r="K15" s="53">
        <f t="shared" si="0"/>
        <v>0.38320000000000004</v>
      </c>
      <c r="L15" s="50"/>
    </row>
    <row r="16" spans="1:12" ht="15.75">
      <c r="A16" s="43">
        <v>14</v>
      </c>
      <c r="B16" s="1" t="s">
        <v>26</v>
      </c>
      <c r="C16" s="12">
        <v>0.03</v>
      </c>
      <c r="D16" s="35">
        <v>1.47</v>
      </c>
      <c r="E16" s="35">
        <v>0.86</v>
      </c>
      <c r="F16" s="35">
        <v>0.21</v>
      </c>
      <c r="G16" s="35">
        <v>0</v>
      </c>
      <c r="H16" s="52">
        <v>5.8000000000000003E-2</v>
      </c>
      <c r="I16" s="52">
        <v>0.03</v>
      </c>
      <c r="J16" s="35">
        <v>0.06</v>
      </c>
      <c r="K16" s="53">
        <f t="shared" si="0"/>
        <v>0.37879999999999997</v>
      </c>
      <c r="L16" s="50"/>
    </row>
    <row r="17" spans="1:12" ht="31.5">
      <c r="A17" s="43">
        <v>15</v>
      </c>
      <c r="B17" s="1" t="s">
        <v>4</v>
      </c>
      <c r="C17" s="12">
        <v>0.37</v>
      </c>
      <c r="D17" s="35">
        <v>1.35</v>
      </c>
      <c r="E17" s="35">
        <v>0.42</v>
      </c>
      <c r="F17" s="35">
        <v>0.32</v>
      </c>
      <c r="G17" s="35">
        <v>0.04</v>
      </c>
      <c r="H17" s="52">
        <v>5.8000000000000003E-2</v>
      </c>
      <c r="I17" s="52">
        <v>6.0999999999999999E-2</v>
      </c>
      <c r="J17" s="35">
        <v>0.1</v>
      </c>
      <c r="K17" s="53">
        <f t="shared" si="0"/>
        <v>0.37790000000000007</v>
      </c>
      <c r="L17" s="50"/>
    </row>
    <row r="18" spans="1:12" ht="15.75">
      <c r="A18" s="43">
        <v>16</v>
      </c>
      <c r="B18" s="1" t="s">
        <v>8</v>
      </c>
      <c r="C18" s="12">
        <v>0.14000000000000001</v>
      </c>
      <c r="D18" s="35">
        <v>1.66</v>
      </c>
      <c r="E18" s="35">
        <v>0.62</v>
      </c>
      <c r="F18" s="35">
        <v>0.18</v>
      </c>
      <c r="G18" s="35">
        <v>0.03</v>
      </c>
      <c r="H18" s="52">
        <v>0.11600000000000001</v>
      </c>
      <c r="I18" s="52">
        <v>4.2000000000000003E-2</v>
      </c>
      <c r="J18" s="35">
        <v>0.05</v>
      </c>
      <c r="K18" s="53">
        <f t="shared" si="0"/>
        <v>0.37529999999999997</v>
      </c>
      <c r="L18" s="50"/>
    </row>
    <row r="19" spans="1:12" ht="15.75">
      <c r="A19" s="43">
        <v>17</v>
      </c>
      <c r="B19" s="1" t="s">
        <v>28</v>
      </c>
      <c r="C19" s="12">
        <v>7.0000000000000007E-2</v>
      </c>
      <c r="D19" s="35">
        <v>0.89</v>
      </c>
      <c r="E19" s="35">
        <v>0.59</v>
      </c>
      <c r="F19" s="35">
        <v>0.69</v>
      </c>
      <c r="G19" s="35">
        <v>0.06</v>
      </c>
      <c r="H19" s="52">
        <v>2.1000000000000001E-2</v>
      </c>
      <c r="I19" s="52">
        <v>0</v>
      </c>
      <c r="J19" s="35">
        <v>7.0000000000000007E-2</v>
      </c>
      <c r="K19" s="53">
        <f t="shared" si="0"/>
        <v>0.37059999999999998</v>
      </c>
      <c r="L19" s="50"/>
    </row>
    <row r="20" spans="1:12" ht="15.75">
      <c r="A20" s="43">
        <v>18</v>
      </c>
      <c r="B20" s="1" t="s">
        <v>29</v>
      </c>
      <c r="C20" s="12">
        <v>0.13</v>
      </c>
      <c r="D20" s="35">
        <v>1.23</v>
      </c>
      <c r="E20" s="35">
        <v>0.73</v>
      </c>
      <c r="F20" s="35">
        <v>0.22</v>
      </c>
      <c r="G20" s="35">
        <v>0.13</v>
      </c>
      <c r="H20" s="52">
        <v>1.2E-2</v>
      </c>
      <c r="I20" s="52">
        <v>1.2E-2</v>
      </c>
      <c r="J20" s="35">
        <v>0.2</v>
      </c>
      <c r="K20" s="53">
        <f t="shared" si="0"/>
        <v>0.3644</v>
      </c>
      <c r="L20" s="50"/>
    </row>
    <row r="21" spans="1:12" ht="15.75">
      <c r="A21" s="43">
        <v>19</v>
      </c>
      <c r="B21" s="1" t="s">
        <v>15</v>
      </c>
      <c r="C21" s="12">
        <v>0.08</v>
      </c>
      <c r="D21" s="35">
        <v>1.0900000000000001</v>
      </c>
      <c r="E21" s="35">
        <v>0.75</v>
      </c>
      <c r="F21" s="35">
        <v>0.34</v>
      </c>
      <c r="G21" s="35">
        <v>0.03</v>
      </c>
      <c r="H21" s="52">
        <v>6.0000000000000001E-3</v>
      </c>
      <c r="I21" s="52">
        <v>1.4999999999999999E-2</v>
      </c>
      <c r="J21" s="35">
        <v>0.05</v>
      </c>
      <c r="K21" s="53">
        <f t="shared" si="0"/>
        <v>0.35060000000000002</v>
      </c>
      <c r="L21" s="50"/>
    </row>
    <row r="22" spans="1:12" ht="15.75">
      <c r="A22" s="43">
        <v>20</v>
      </c>
      <c r="B22" s="1" t="s">
        <v>16</v>
      </c>
      <c r="C22" s="12">
        <v>0.42</v>
      </c>
      <c r="D22" s="35">
        <v>1.44</v>
      </c>
      <c r="E22" s="35">
        <v>0</v>
      </c>
      <c r="F22" s="35">
        <v>0.54</v>
      </c>
      <c r="G22" s="35">
        <v>0.03</v>
      </c>
      <c r="H22" s="52">
        <v>1.4999999999999999E-2</v>
      </c>
      <c r="I22" s="52">
        <v>0</v>
      </c>
      <c r="J22" s="35">
        <v>0.05</v>
      </c>
      <c r="K22" s="53">
        <f t="shared" si="0"/>
        <v>0.34299999999999997</v>
      </c>
      <c r="L22" s="50"/>
    </row>
    <row r="23" spans="1:12" ht="15.75">
      <c r="A23" s="43">
        <v>21</v>
      </c>
      <c r="B23" s="1" t="s">
        <v>20</v>
      </c>
      <c r="C23" s="12">
        <v>0.24</v>
      </c>
      <c r="D23" s="35">
        <v>1</v>
      </c>
      <c r="E23" s="35">
        <v>0.72</v>
      </c>
      <c r="F23" s="35">
        <v>0.2</v>
      </c>
      <c r="G23" s="35">
        <v>0</v>
      </c>
      <c r="H23" s="52">
        <v>6.0000000000000001E-3</v>
      </c>
      <c r="I23" s="52">
        <v>4.2000000000000003E-2</v>
      </c>
      <c r="J23" s="35">
        <v>7.0000000000000007E-2</v>
      </c>
      <c r="K23" s="53">
        <f t="shared" si="0"/>
        <v>0.3403000000000001</v>
      </c>
      <c r="L23" s="50"/>
    </row>
    <row r="24" spans="1:12" ht="15.75">
      <c r="A24" s="43">
        <v>22</v>
      </c>
      <c r="B24" s="1" t="s">
        <v>31</v>
      </c>
      <c r="C24" s="12">
        <v>0.21</v>
      </c>
      <c r="D24" s="35">
        <v>0.8</v>
      </c>
      <c r="E24" s="35">
        <v>0.69</v>
      </c>
      <c r="F24" s="35">
        <v>0.21</v>
      </c>
      <c r="G24" s="35">
        <v>0</v>
      </c>
      <c r="H24" s="52">
        <v>3.0000000000000001E-3</v>
      </c>
      <c r="I24" s="52">
        <v>1.4999999999999999E-2</v>
      </c>
      <c r="J24" s="35">
        <v>0.04</v>
      </c>
      <c r="K24" s="53">
        <f t="shared" si="0"/>
        <v>0.30580000000000002</v>
      </c>
      <c r="L24" s="50"/>
    </row>
    <row r="25" spans="1:12" ht="15.75">
      <c r="A25" s="43">
        <v>23</v>
      </c>
      <c r="B25" s="1" t="s">
        <v>6</v>
      </c>
      <c r="C25" s="12">
        <v>0.24</v>
      </c>
      <c r="D25" s="35">
        <v>1.1200000000000001</v>
      </c>
      <c r="E25" s="35">
        <v>0.38</v>
      </c>
      <c r="F25" s="35">
        <v>0.17</v>
      </c>
      <c r="G25" s="35">
        <v>0.05</v>
      </c>
      <c r="H25" s="52">
        <v>3.4000000000000002E-2</v>
      </c>
      <c r="I25" s="52">
        <v>1.4E-2</v>
      </c>
      <c r="J25" s="35">
        <v>0.26</v>
      </c>
      <c r="K25" s="53">
        <f t="shared" si="0"/>
        <v>0.29280000000000006</v>
      </c>
      <c r="L25" s="50"/>
    </row>
    <row r="26" spans="1:12" ht="15.75">
      <c r="A26" s="43">
        <v>24</v>
      </c>
      <c r="B26" s="1" t="s">
        <v>24</v>
      </c>
      <c r="C26" s="12">
        <v>0.06</v>
      </c>
      <c r="D26" s="35">
        <v>0.76</v>
      </c>
      <c r="E26" s="35">
        <v>0.77</v>
      </c>
      <c r="F26" s="35">
        <v>0.19</v>
      </c>
      <c r="G26" s="35">
        <v>0.03</v>
      </c>
      <c r="H26" s="52">
        <v>6.0000000000000001E-3</v>
      </c>
      <c r="I26" s="52">
        <v>1.4999999999999999E-2</v>
      </c>
      <c r="J26" s="35">
        <v>0.05</v>
      </c>
      <c r="K26" s="53">
        <f t="shared" si="0"/>
        <v>0.28760000000000002</v>
      </c>
      <c r="L26" s="50"/>
    </row>
    <row r="27" spans="1:12" ht="15.75">
      <c r="A27" s="43">
        <v>25</v>
      </c>
      <c r="B27" s="1" t="s">
        <v>27</v>
      </c>
      <c r="C27" s="12">
        <v>0.11</v>
      </c>
      <c r="D27" s="35">
        <v>0.78</v>
      </c>
      <c r="E27" s="35">
        <v>0.51</v>
      </c>
      <c r="F27" s="35">
        <v>0.06</v>
      </c>
      <c r="G27" s="35">
        <v>0.01</v>
      </c>
      <c r="H27" s="52">
        <v>2.5999999999999999E-2</v>
      </c>
      <c r="I27" s="52">
        <v>1.2999999999999999E-2</v>
      </c>
      <c r="J27" s="35">
        <v>0.03</v>
      </c>
      <c r="K27" s="53">
        <f t="shared" si="0"/>
        <v>0.22040000000000001</v>
      </c>
      <c r="L27" s="50"/>
    </row>
    <row r="28" spans="1:12" ht="15.75">
      <c r="A28" s="43">
        <v>26</v>
      </c>
      <c r="B28" s="1" t="s">
        <v>22</v>
      </c>
      <c r="C28" s="12">
        <v>0.25</v>
      </c>
      <c r="D28" s="35">
        <v>0.94</v>
      </c>
      <c r="E28" s="35">
        <v>0.03</v>
      </c>
      <c r="F28" s="35">
        <v>0.09</v>
      </c>
      <c r="G28" s="35">
        <v>0</v>
      </c>
      <c r="H28" s="52">
        <v>2.4E-2</v>
      </c>
      <c r="I28" s="52">
        <v>0</v>
      </c>
      <c r="J28" s="35">
        <v>0.11</v>
      </c>
      <c r="K28" s="53">
        <f t="shared" si="0"/>
        <v>0.17590000000000003</v>
      </c>
      <c r="L28" s="50"/>
    </row>
    <row r="29" spans="1:12" ht="15.75">
      <c r="A29" s="43">
        <v>27</v>
      </c>
      <c r="B29" s="1" t="s">
        <v>30</v>
      </c>
      <c r="C29" s="12">
        <v>0.16</v>
      </c>
      <c r="D29" s="35">
        <v>1.01</v>
      </c>
      <c r="E29" s="35">
        <v>0</v>
      </c>
      <c r="F29" s="35">
        <v>0.17</v>
      </c>
      <c r="G29" s="35">
        <v>0</v>
      </c>
      <c r="H29" s="52">
        <v>0.01</v>
      </c>
      <c r="I29" s="52">
        <v>1E-3</v>
      </c>
      <c r="J29" s="35">
        <v>7.0000000000000007E-2</v>
      </c>
      <c r="K29" s="53">
        <f t="shared" si="0"/>
        <v>0.1716</v>
      </c>
      <c r="L29" s="50"/>
    </row>
    <row r="30" spans="1:12" ht="15.75" customHeight="1">
      <c r="A30" s="43">
        <v>28</v>
      </c>
      <c r="B30" s="1" t="s">
        <v>103</v>
      </c>
      <c r="C30" s="12">
        <v>0.05</v>
      </c>
      <c r="D30" s="35">
        <v>0.71</v>
      </c>
      <c r="E30" s="35">
        <v>0.39</v>
      </c>
      <c r="F30" s="35">
        <v>0.01</v>
      </c>
      <c r="G30" s="35">
        <v>0</v>
      </c>
      <c r="H30" s="52">
        <v>0.04</v>
      </c>
      <c r="I30" s="52">
        <v>0</v>
      </c>
      <c r="J30" s="35">
        <v>0.1</v>
      </c>
      <c r="K30" s="53">
        <f t="shared" si="0"/>
        <v>0.17</v>
      </c>
      <c r="L30" s="50"/>
    </row>
    <row r="31" spans="1:12" ht="16.5" customHeight="1">
      <c r="A31" s="43">
        <v>29</v>
      </c>
      <c r="B31" s="1" t="s">
        <v>18</v>
      </c>
      <c r="C31" s="12">
        <v>0.06</v>
      </c>
      <c r="D31" s="35">
        <v>0.83</v>
      </c>
      <c r="E31" s="35">
        <v>0</v>
      </c>
      <c r="F31" s="35">
        <v>0.26</v>
      </c>
      <c r="G31" s="35">
        <v>0.03</v>
      </c>
      <c r="H31" s="52">
        <v>5.8000000000000003E-2</v>
      </c>
      <c r="I31" s="52">
        <v>0</v>
      </c>
      <c r="J31" s="35">
        <v>0.09</v>
      </c>
      <c r="K31" s="53">
        <f t="shared" si="0"/>
        <v>0.16030000000000003</v>
      </c>
      <c r="L31" s="50"/>
    </row>
    <row r="32" spans="1:12" ht="15.75">
      <c r="A32" s="43">
        <v>30</v>
      </c>
      <c r="B32" s="1" t="s">
        <v>23</v>
      </c>
      <c r="C32" s="12">
        <v>0.1</v>
      </c>
      <c r="D32" s="35">
        <v>0.87</v>
      </c>
      <c r="E32" s="35">
        <v>0</v>
      </c>
      <c r="F32" s="35">
        <v>0.23</v>
      </c>
      <c r="G32" s="35">
        <v>0</v>
      </c>
      <c r="H32" s="52">
        <v>1.4E-2</v>
      </c>
      <c r="I32" s="52">
        <v>0</v>
      </c>
      <c r="J32" s="35">
        <v>0.04</v>
      </c>
      <c r="K32" s="53">
        <f t="shared" si="0"/>
        <v>0.15640000000000004</v>
      </c>
      <c r="L32" s="50"/>
    </row>
    <row r="33" spans="1:12" ht="15.75">
      <c r="A33" s="43">
        <v>31</v>
      </c>
      <c r="B33" s="1" t="s">
        <v>32</v>
      </c>
      <c r="C33" s="12">
        <v>0.01</v>
      </c>
      <c r="D33" s="35">
        <v>0.2</v>
      </c>
      <c r="E33" s="35">
        <v>0</v>
      </c>
      <c r="F33" s="35">
        <v>0</v>
      </c>
      <c r="G33" s="35">
        <v>0</v>
      </c>
      <c r="H33" s="52">
        <v>0</v>
      </c>
      <c r="I33" s="52">
        <v>0</v>
      </c>
      <c r="J33" s="35">
        <v>0</v>
      </c>
      <c r="K33" s="53">
        <f t="shared" si="0"/>
        <v>2.2000000000000006E-2</v>
      </c>
      <c r="L33" s="50"/>
    </row>
    <row r="34" spans="1:12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50" customHeight="1">
      <c r="A35" s="106" t="s">
        <v>149</v>
      </c>
      <c r="B35" s="51" t="s">
        <v>41</v>
      </c>
      <c r="C35" s="99" t="s">
        <v>101</v>
      </c>
      <c r="D35" s="99" t="s">
        <v>102</v>
      </c>
      <c r="E35" s="100" t="s">
        <v>105</v>
      </c>
      <c r="F35" s="100" t="s">
        <v>146</v>
      </c>
      <c r="G35" s="100" t="s">
        <v>138</v>
      </c>
      <c r="H35" s="100" t="s">
        <v>151</v>
      </c>
      <c r="I35" s="100" t="s">
        <v>148</v>
      </c>
      <c r="J35" s="100" t="s">
        <v>139</v>
      </c>
      <c r="K35" s="99" t="s">
        <v>140</v>
      </c>
      <c r="L35" s="36" t="s">
        <v>91</v>
      </c>
    </row>
    <row r="36" spans="1:12" ht="15.75">
      <c r="A36" s="43">
        <v>1</v>
      </c>
      <c r="B36" s="1" t="s">
        <v>34</v>
      </c>
      <c r="C36" s="33">
        <v>2</v>
      </c>
      <c r="D36" s="23">
        <v>1.58</v>
      </c>
      <c r="E36" s="35">
        <v>2.59</v>
      </c>
      <c r="F36" s="23">
        <v>2.81</v>
      </c>
      <c r="G36" s="23">
        <v>0.32</v>
      </c>
      <c r="H36" s="23">
        <v>0.25</v>
      </c>
      <c r="I36" s="23">
        <v>0.27</v>
      </c>
      <c r="J36" s="23">
        <v>0.05</v>
      </c>
      <c r="K36" s="23">
        <v>0.72</v>
      </c>
      <c r="L36" s="52">
        <f>0.2*C36+0.1*D36+0.2*E36+0.2*F36+0.1*G36+0.1*(H36+I36)+0.05*J36+0.05*K36</f>
        <v>1.7605000000000002</v>
      </c>
    </row>
    <row r="37" spans="1:12" ht="31.5">
      <c r="A37" s="43">
        <v>2</v>
      </c>
      <c r="B37" s="1" t="s">
        <v>36</v>
      </c>
      <c r="C37" s="33">
        <v>0.68</v>
      </c>
      <c r="D37" s="23">
        <v>1.46</v>
      </c>
      <c r="E37" s="35">
        <v>1.92</v>
      </c>
      <c r="F37" s="23">
        <v>1.94</v>
      </c>
      <c r="G37" s="23">
        <v>0.32</v>
      </c>
      <c r="H37" s="23">
        <v>0.22</v>
      </c>
      <c r="I37" s="23">
        <v>0.37</v>
      </c>
      <c r="J37" s="23">
        <v>0.1</v>
      </c>
      <c r="K37" s="23">
        <v>0.67</v>
      </c>
      <c r="L37" s="52">
        <f>0.2*C37+0.1*D37+0.2*E37+0.2*F37+0.1*G37+0.1*(H37+I37)+0.05*J37+0.05*K37</f>
        <v>1.1835</v>
      </c>
    </row>
    <row r="38" spans="1:12" ht="31.5">
      <c r="A38" s="43">
        <v>3</v>
      </c>
      <c r="B38" s="1" t="s">
        <v>35</v>
      </c>
      <c r="C38" s="33">
        <v>1.37</v>
      </c>
      <c r="D38" s="23">
        <v>1.52</v>
      </c>
      <c r="E38" s="35">
        <v>1.52</v>
      </c>
      <c r="F38" s="23">
        <v>1</v>
      </c>
      <c r="G38" s="23">
        <v>0.15</v>
      </c>
      <c r="H38" s="23">
        <v>0.1</v>
      </c>
      <c r="I38" s="23">
        <v>0.22</v>
      </c>
      <c r="J38" s="23">
        <v>0.1</v>
      </c>
      <c r="K38" s="23">
        <v>0.41</v>
      </c>
      <c r="L38" s="52">
        <f>0.2*C38+0.1*D38+0.2*E38+0.2*F38+0.1*G38+0.1*(H38+I38)+0.05*J38+0.05*K38</f>
        <v>1.0025000000000002</v>
      </c>
    </row>
    <row r="39" spans="1:12" ht="15.75">
      <c r="A39" s="43">
        <v>4</v>
      </c>
      <c r="B39" s="1" t="s">
        <v>33</v>
      </c>
      <c r="C39" s="33">
        <v>1.19</v>
      </c>
      <c r="D39" s="23">
        <v>1.63</v>
      </c>
      <c r="E39" s="35">
        <v>1.27</v>
      </c>
      <c r="F39" s="23">
        <v>0.89</v>
      </c>
      <c r="G39" s="23">
        <v>0.21</v>
      </c>
      <c r="H39" s="23">
        <v>0.43</v>
      </c>
      <c r="I39" s="23">
        <v>0.15</v>
      </c>
      <c r="J39" s="23">
        <v>0.05</v>
      </c>
      <c r="K39" s="23">
        <v>0.21</v>
      </c>
      <c r="L39" s="52">
        <f>0.2*C39+0.1*D39+0.2*E39+0.2*F39+0.1*G39+0.1*(H39+I39)+0.05*J39+0.05*K39</f>
        <v>0.92500000000000004</v>
      </c>
    </row>
  </sheetData>
  <sortState ref="B37:L39">
    <sortCondition descending="1" ref="L36:L39"/>
  </sortState>
  <mergeCells count="1">
    <mergeCell ref="A1:K1"/>
  </mergeCells>
  <phoneticPr fontId="5" type="noConversion"/>
  <pageMargins left="0.27559055118110237" right="0.19685039370078741" top="0.35433070866141736" bottom="0.35433070866141736" header="0.31496062992125984" footer="0.23622047244094491"/>
  <pageSetup paperSize="9" scale="70" orientation="landscape" verticalDpi="300" r:id="rId1"/>
  <headerFooter alignWithMargins="0"/>
  <rowBreaks count="1" manualBreakCount="1">
    <brk id="3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38"/>
  <sheetViews>
    <sheetView zoomScale="85" zoomScaleNormal="85" workbookViewId="0">
      <selection activeCell="H19" sqref="H19"/>
    </sheetView>
  </sheetViews>
  <sheetFormatPr defaultRowHeight="12.75"/>
  <cols>
    <col min="1" max="1" width="7" customWidth="1"/>
    <col min="2" max="2" width="54.42578125" customWidth="1"/>
    <col min="3" max="3" width="27" customWidth="1"/>
    <col min="4" max="4" width="20.42578125" customWidth="1"/>
    <col min="5" max="5" width="21.42578125" customWidth="1"/>
    <col min="6" max="7" width="22.28515625" customWidth="1"/>
  </cols>
  <sheetData>
    <row r="2" spans="1:7" ht="41.25" customHeight="1">
      <c r="B2" s="58" t="s">
        <v>83</v>
      </c>
      <c r="C2" s="7"/>
      <c r="D2" s="7"/>
      <c r="E2" s="7"/>
    </row>
    <row r="3" spans="1:7" ht="128.25" customHeight="1">
      <c r="A3" s="43" t="s">
        <v>92</v>
      </c>
      <c r="B3" s="55" t="s">
        <v>0</v>
      </c>
      <c r="C3" s="55" t="s">
        <v>85</v>
      </c>
      <c r="D3" s="55" t="s">
        <v>86</v>
      </c>
      <c r="E3" s="55" t="s">
        <v>87</v>
      </c>
      <c r="F3" s="55" t="s">
        <v>88</v>
      </c>
      <c r="G3" s="55" t="s">
        <v>89</v>
      </c>
    </row>
    <row r="4" spans="1:7" s="10" customFormat="1" ht="15.75">
      <c r="A4" s="46">
        <v>1</v>
      </c>
      <c r="B4" s="9" t="s">
        <v>122</v>
      </c>
      <c r="C4" s="81">
        <v>8</v>
      </c>
      <c r="D4" s="75">
        <v>58</v>
      </c>
      <c r="E4" s="74">
        <v>9</v>
      </c>
      <c r="F4" s="75">
        <v>45</v>
      </c>
      <c r="G4" s="35">
        <f t="shared" ref="G4:G27" si="0">C4/D4+0.5*(E4/F4)</f>
        <v>0.23793103448275862</v>
      </c>
    </row>
    <row r="5" spans="1:7" s="10" customFormat="1" ht="15.75" customHeight="1">
      <c r="A5" s="46">
        <v>2</v>
      </c>
      <c r="B5" s="9" t="s">
        <v>10</v>
      </c>
      <c r="C5" s="75">
        <v>4</v>
      </c>
      <c r="D5" s="75">
        <v>58</v>
      </c>
      <c r="E5" s="74">
        <v>8</v>
      </c>
      <c r="F5" s="75">
        <v>38</v>
      </c>
      <c r="G5" s="35">
        <f t="shared" si="0"/>
        <v>0.17422867513611615</v>
      </c>
    </row>
    <row r="6" spans="1:7" s="10" customFormat="1" ht="15.75">
      <c r="A6" s="46">
        <v>3</v>
      </c>
      <c r="B6" s="9" t="s">
        <v>27</v>
      </c>
      <c r="C6" s="75">
        <v>3</v>
      </c>
      <c r="D6" s="75">
        <v>58</v>
      </c>
      <c r="E6" s="74">
        <v>5</v>
      </c>
      <c r="F6" s="75">
        <v>24</v>
      </c>
      <c r="G6" s="35">
        <f t="shared" si="0"/>
        <v>0.15589080459770116</v>
      </c>
    </row>
    <row r="7" spans="1:7" s="10" customFormat="1" ht="19.5" customHeight="1">
      <c r="A7" s="46">
        <v>4</v>
      </c>
      <c r="B7" s="9" t="s">
        <v>29</v>
      </c>
      <c r="C7" s="75">
        <v>2</v>
      </c>
      <c r="D7" s="75">
        <v>58</v>
      </c>
      <c r="E7" s="74">
        <v>8</v>
      </c>
      <c r="F7" s="81">
        <v>33</v>
      </c>
      <c r="G7" s="35">
        <f t="shared" si="0"/>
        <v>0.15569487983281088</v>
      </c>
    </row>
    <row r="8" spans="1:7" s="10" customFormat="1" ht="31.5">
      <c r="A8" s="46">
        <v>5</v>
      </c>
      <c r="B8" s="9" t="s">
        <v>5</v>
      </c>
      <c r="C8" s="75">
        <v>0</v>
      </c>
      <c r="D8" s="75">
        <v>58</v>
      </c>
      <c r="E8" s="74">
        <v>9</v>
      </c>
      <c r="F8" s="75">
        <v>29</v>
      </c>
      <c r="G8" s="35">
        <f t="shared" si="0"/>
        <v>0.15517241379310345</v>
      </c>
    </row>
    <row r="9" spans="1:7" s="10" customFormat="1" ht="31.5">
      <c r="A9" s="46">
        <v>6</v>
      </c>
      <c r="B9" s="9" t="s">
        <v>20</v>
      </c>
      <c r="C9" s="75">
        <v>4</v>
      </c>
      <c r="D9" s="75">
        <v>58</v>
      </c>
      <c r="E9" s="74">
        <v>4</v>
      </c>
      <c r="F9" s="75">
        <v>27</v>
      </c>
      <c r="G9" s="35">
        <f t="shared" si="0"/>
        <v>0.14303959131545338</v>
      </c>
    </row>
    <row r="10" spans="1:7" s="10" customFormat="1" ht="15" customHeight="1">
      <c r="A10" s="46">
        <v>7</v>
      </c>
      <c r="B10" s="9" t="s">
        <v>12</v>
      </c>
      <c r="C10" s="81">
        <v>2</v>
      </c>
      <c r="D10" s="75">
        <v>58</v>
      </c>
      <c r="E10" s="74">
        <v>11</v>
      </c>
      <c r="F10" s="75">
        <v>52</v>
      </c>
      <c r="G10" s="35">
        <f t="shared" si="0"/>
        <v>0.14025198938992042</v>
      </c>
    </row>
    <row r="11" spans="1:7" s="10" customFormat="1" ht="15.75">
      <c r="A11" s="46">
        <v>8</v>
      </c>
      <c r="B11" s="9" t="s">
        <v>14</v>
      </c>
      <c r="C11" s="75">
        <v>2</v>
      </c>
      <c r="D11" s="75">
        <v>58</v>
      </c>
      <c r="E11" s="74">
        <v>21</v>
      </c>
      <c r="F11" s="75">
        <v>102</v>
      </c>
      <c r="G11" s="35">
        <f t="shared" si="0"/>
        <v>0.13742393509127787</v>
      </c>
    </row>
    <row r="12" spans="1:7" s="10" customFormat="1" ht="13.5" customHeight="1">
      <c r="A12" s="46">
        <v>9</v>
      </c>
      <c r="B12" s="9" t="s">
        <v>8</v>
      </c>
      <c r="C12" s="75">
        <v>5</v>
      </c>
      <c r="D12" s="75">
        <v>58</v>
      </c>
      <c r="E12" s="74">
        <v>5</v>
      </c>
      <c r="F12" s="75">
        <v>64</v>
      </c>
      <c r="G12" s="35">
        <f t="shared" si="0"/>
        <v>0.12526939655172414</v>
      </c>
    </row>
    <row r="13" spans="1:7" s="10" customFormat="1" ht="15.75">
      <c r="A13" s="46">
        <v>10</v>
      </c>
      <c r="B13" s="9" t="s">
        <v>31</v>
      </c>
      <c r="C13" s="81">
        <v>1</v>
      </c>
      <c r="D13" s="75">
        <v>58</v>
      </c>
      <c r="E13" s="74">
        <v>9</v>
      </c>
      <c r="F13" s="75">
        <v>43</v>
      </c>
      <c r="G13" s="35">
        <f t="shared" si="0"/>
        <v>0.1218925421010425</v>
      </c>
    </row>
    <row r="14" spans="1:7" s="10" customFormat="1" ht="15.75">
      <c r="A14" s="46">
        <v>11</v>
      </c>
      <c r="B14" s="9" t="s">
        <v>15</v>
      </c>
      <c r="C14" s="81">
        <v>1</v>
      </c>
      <c r="D14" s="75">
        <v>58</v>
      </c>
      <c r="E14" s="74">
        <v>5</v>
      </c>
      <c r="F14" s="81">
        <v>26</v>
      </c>
      <c r="G14" s="35">
        <f t="shared" si="0"/>
        <v>0.11339522546419098</v>
      </c>
    </row>
    <row r="15" spans="1:7" s="10" customFormat="1" ht="16.5" customHeight="1">
      <c r="A15" s="46">
        <v>12</v>
      </c>
      <c r="B15" s="9" t="s">
        <v>21</v>
      </c>
      <c r="C15" s="75">
        <v>2</v>
      </c>
      <c r="D15" s="75">
        <v>58</v>
      </c>
      <c r="E15" s="74">
        <v>3</v>
      </c>
      <c r="F15" s="75">
        <v>20</v>
      </c>
      <c r="G15" s="35">
        <f t="shared" si="0"/>
        <v>0.10948275862068965</v>
      </c>
    </row>
    <row r="16" spans="1:7" s="10" customFormat="1" ht="16.5" customHeight="1">
      <c r="A16" s="46">
        <v>13</v>
      </c>
      <c r="B16" s="9" t="s">
        <v>11</v>
      </c>
      <c r="C16" s="81">
        <v>3</v>
      </c>
      <c r="D16" s="75">
        <v>58</v>
      </c>
      <c r="E16" s="74">
        <v>6</v>
      </c>
      <c r="F16" s="75">
        <v>52</v>
      </c>
      <c r="G16" s="35">
        <f t="shared" si="0"/>
        <v>0.10941644562334218</v>
      </c>
    </row>
    <row r="17" spans="1:7" s="10" customFormat="1" ht="15.75">
      <c r="A17" s="46">
        <v>14</v>
      </c>
      <c r="B17" s="9" t="s">
        <v>6</v>
      </c>
      <c r="C17" s="75">
        <v>3</v>
      </c>
      <c r="D17" s="75">
        <v>58</v>
      </c>
      <c r="E17" s="74">
        <v>3</v>
      </c>
      <c r="F17" s="75">
        <v>26</v>
      </c>
      <c r="G17" s="35">
        <f t="shared" si="0"/>
        <v>0.10941644562334218</v>
      </c>
    </row>
    <row r="18" spans="1:7" s="10" customFormat="1" ht="17.25" customHeight="1">
      <c r="A18" s="46">
        <v>15</v>
      </c>
      <c r="B18" s="9" t="s">
        <v>103</v>
      </c>
      <c r="C18" s="75">
        <v>3</v>
      </c>
      <c r="D18" s="75">
        <v>58</v>
      </c>
      <c r="E18" s="74">
        <v>5</v>
      </c>
      <c r="F18" s="75">
        <v>44</v>
      </c>
      <c r="G18" s="35">
        <f t="shared" si="0"/>
        <v>0.1085423197492163</v>
      </c>
    </row>
    <row r="19" spans="1:7" s="10" customFormat="1" ht="31.5">
      <c r="A19" s="46">
        <v>16</v>
      </c>
      <c r="B19" s="9" t="s">
        <v>7</v>
      </c>
      <c r="C19" s="75">
        <v>2</v>
      </c>
      <c r="D19" s="75">
        <v>58</v>
      </c>
      <c r="E19" s="74">
        <v>2</v>
      </c>
      <c r="F19" s="75">
        <v>14</v>
      </c>
      <c r="G19" s="35">
        <f t="shared" si="0"/>
        <v>0.10591133004926108</v>
      </c>
    </row>
    <row r="20" spans="1:7" s="10" customFormat="1" ht="18" customHeight="1">
      <c r="A20" s="46">
        <v>17</v>
      </c>
      <c r="B20" s="9" t="s">
        <v>25</v>
      </c>
      <c r="C20" s="81">
        <v>3</v>
      </c>
      <c r="D20" s="75">
        <v>58</v>
      </c>
      <c r="E20" s="74">
        <v>12</v>
      </c>
      <c r="F20" s="75">
        <v>120</v>
      </c>
      <c r="G20" s="35">
        <f t="shared" si="0"/>
        <v>0.10172413793103449</v>
      </c>
    </row>
    <row r="21" spans="1:7" s="10" customFormat="1" ht="18" customHeight="1">
      <c r="A21" s="46">
        <v>18</v>
      </c>
      <c r="B21" s="9" t="s">
        <v>9</v>
      </c>
      <c r="C21" s="75">
        <v>2</v>
      </c>
      <c r="D21" s="75">
        <v>58</v>
      </c>
      <c r="E21" s="74">
        <v>5</v>
      </c>
      <c r="F21" s="75">
        <v>43</v>
      </c>
      <c r="G21" s="35">
        <f t="shared" si="0"/>
        <v>9.2622293504410591E-2</v>
      </c>
    </row>
    <row r="22" spans="1:7" s="10" customFormat="1" ht="15.75">
      <c r="A22" s="46">
        <v>19</v>
      </c>
      <c r="B22" s="9" t="s">
        <v>26</v>
      </c>
      <c r="C22" s="75">
        <v>2</v>
      </c>
      <c r="D22" s="75">
        <v>58</v>
      </c>
      <c r="E22" s="74">
        <v>9</v>
      </c>
      <c r="F22" s="75">
        <v>83</v>
      </c>
      <c r="G22" s="35">
        <f t="shared" si="0"/>
        <v>8.8699626090569167E-2</v>
      </c>
    </row>
    <row r="23" spans="1:7" s="10" customFormat="1" ht="21" customHeight="1">
      <c r="A23" s="46">
        <v>20</v>
      </c>
      <c r="B23" s="9" t="s">
        <v>19</v>
      </c>
      <c r="C23" s="81">
        <v>1</v>
      </c>
      <c r="D23" s="75">
        <v>58</v>
      </c>
      <c r="E23" s="74">
        <v>12</v>
      </c>
      <c r="F23" s="81">
        <v>94</v>
      </c>
      <c r="G23" s="35">
        <f t="shared" si="0"/>
        <v>8.1071166544387369E-2</v>
      </c>
    </row>
    <row r="24" spans="1:7" s="10" customFormat="1" ht="18" customHeight="1">
      <c r="A24" s="46">
        <v>21</v>
      </c>
      <c r="B24" s="9" t="s">
        <v>28</v>
      </c>
      <c r="C24" s="75">
        <v>2</v>
      </c>
      <c r="D24" s="75">
        <v>58</v>
      </c>
      <c r="E24" s="74">
        <v>4</v>
      </c>
      <c r="F24" s="75">
        <v>50</v>
      </c>
      <c r="G24" s="35">
        <f t="shared" si="0"/>
        <v>7.4482758620689649E-2</v>
      </c>
    </row>
    <row r="25" spans="1:7" s="10" customFormat="1" ht="31.5">
      <c r="A25" s="46">
        <v>22</v>
      </c>
      <c r="B25" s="9" t="s">
        <v>4</v>
      </c>
      <c r="C25" s="75">
        <v>1</v>
      </c>
      <c r="D25" s="75">
        <v>58</v>
      </c>
      <c r="E25" s="74">
        <v>5</v>
      </c>
      <c r="F25" s="75">
        <v>52</v>
      </c>
      <c r="G25" s="35">
        <f t="shared" si="0"/>
        <v>6.5318302387267907E-2</v>
      </c>
    </row>
    <row r="26" spans="1:7" s="10" customFormat="1" ht="16.5" customHeight="1">
      <c r="A26" s="46">
        <v>23</v>
      </c>
      <c r="B26" s="9" t="s">
        <v>13</v>
      </c>
      <c r="C26" s="75">
        <v>1</v>
      </c>
      <c r="D26" s="75">
        <v>58</v>
      </c>
      <c r="E26" s="74">
        <v>7</v>
      </c>
      <c r="F26" s="75">
        <v>87</v>
      </c>
      <c r="G26" s="35">
        <f t="shared" si="0"/>
        <v>5.7471264367816091E-2</v>
      </c>
    </row>
    <row r="27" spans="1:7" s="10" customFormat="1" ht="33" customHeight="1">
      <c r="A27" s="46">
        <v>24</v>
      </c>
      <c r="B27" s="9" t="s">
        <v>24</v>
      </c>
      <c r="C27" s="75">
        <v>1</v>
      </c>
      <c r="D27" s="75">
        <v>58</v>
      </c>
      <c r="E27" s="74">
        <v>1</v>
      </c>
      <c r="F27" s="75">
        <v>13</v>
      </c>
      <c r="G27" s="35">
        <f t="shared" si="0"/>
        <v>5.5702917771883291E-2</v>
      </c>
    </row>
    <row r="28" spans="1:7" s="10" customFormat="1" ht="15.75">
      <c r="A28" s="78"/>
      <c r="B28" s="79" t="s">
        <v>49</v>
      </c>
      <c r="C28" s="82">
        <f>SUM(C4:C27)</f>
        <v>58</v>
      </c>
      <c r="D28" s="82"/>
      <c r="E28" s="82">
        <f>SUM(E4:E27)</f>
        <v>168</v>
      </c>
      <c r="F28" s="82">
        <f>SUM(F4:F27)</f>
        <v>1181</v>
      </c>
      <c r="G28" s="80"/>
    </row>
    <row r="29" spans="1:7" ht="46.5" customHeight="1">
      <c r="A29" s="37"/>
      <c r="B29" s="70" t="s">
        <v>84</v>
      </c>
      <c r="C29" s="42"/>
      <c r="D29" s="42"/>
      <c r="E29" s="42"/>
      <c r="F29" s="37"/>
      <c r="G29" s="37"/>
    </row>
    <row r="30" spans="1:7" ht="121.5" customHeight="1">
      <c r="A30" s="43" t="s">
        <v>92</v>
      </c>
      <c r="B30" s="55" t="s">
        <v>41</v>
      </c>
      <c r="C30" s="55" t="s">
        <v>170</v>
      </c>
      <c r="D30" s="55" t="s">
        <v>86</v>
      </c>
      <c r="E30" s="55" t="s">
        <v>171</v>
      </c>
      <c r="F30" s="55" t="s">
        <v>172</v>
      </c>
      <c r="G30" s="55" t="s">
        <v>89</v>
      </c>
    </row>
    <row r="31" spans="1:7" ht="15.75">
      <c r="A31" s="43">
        <v>1</v>
      </c>
      <c r="B31" s="3" t="s">
        <v>34</v>
      </c>
      <c r="C31" s="25">
        <v>21</v>
      </c>
      <c r="D31" s="25">
        <v>58</v>
      </c>
      <c r="E31" s="25">
        <v>62</v>
      </c>
      <c r="F31" s="28">
        <v>360</v>
      </c>
      <c r="G31" s="23">
        <f>C31/D31+0.5*(E31/F31)</f>
        <v>0.44818007662835246</v>
      </c>
    </row>
    <row r="32" spans="1:7" ht="15.75">
      <c r="A32" s="43">
        <v>2</v>
      </c>
      <c r="B32" s="3" t="s">
        <v>33</v>
      </c>
      <c r="C32" s="25">
        <v>21</v>
      </c>
      <c r="D32" s="25">
        <v>58</v>
      </c>
      <c r="E32" s="25">
        <v>36</v>
      </c>
      <c r="F32" s="28">
        <v>291</v>
      </c>
      <c r="G32" s="23">
        <f>C32/D32+0.5*(E32/F32)</f>
        <v>0.42392463562033417</v>
      </c>
    </row>
    <row r="33" spans="1:7" ht="30" customHeight="1">
      <c r="A33" s="43">
        <v>3</v>
      </c>
      <c r="B33" s="3" t="s">
        <v>36</v>
      </c>
      <c r="C33" s="25">
        <v>9</v>
      </c>
      <c r="D33" s="25">
        <v>58</v>
      </c>
      <c r="E33" s="25">
        <v>34</v>
      </c>
      <c r="F33" s="28">
        <v>316</v>
      </c>
      <c r="G33" s="23">
        <f>C33/D33+0.5*(E33/F33)</f>
        <v>0.20896988214753384</v>
      </c>
    </row>
    <row r="34" spans="1:7" ht="33.75" customHeight="1">
      <c r="A34" s="43">
        <v>4</v>
      </c>
      <c r="B34" s="3" t="s">
        <v>35</v>
      </c>
      <c r="C34" s="25">
        <v>7</v>
      </c>
      <c r="D34" s="25">
        <v>58</v>
      </c>
      <c r="E34" s="25">
        <v>36</v>
      </c>
      <c r="F34" s="28">
        <v>214</v>
      </c>
      <c r="G34" s="23">
        <f>C34/D34+0.5*(E34/F34)</f>
        <v>0.20480180470512407</v>
      </c>
    </row>
    <row r="35" spans="1:7" ht="15.75">
      <c r="B35" s="47" t="s">
        <v>49</v>
      </c>
      <c r="C35" s="31">
        <f>SUM(C31:C34)</f>
        <v>58</v>
      </c>
      <c r="D35" s="83"/>
      <c r="E35" s="31">
        <f>SUM(E31:E34)</f>
        <v>168</v>
      </c>
      <c r="F35" s="31">
        <f>SUM(F31:F34)</f>
        <v>1181</v>
      </c>
      <c r="G35" s="15"/>
    </row>
    <row r="37" spans="1:7" ht="15.75">
      <c r="C37" s="5"/>
    </row>
    <row r="38" spans="1:7" ht="15.75">
      <c r="C38" s="5"/>
    </row>
  </sheetData>
  <sortState ref="B4:G27">
    <sortCondition descending="1" ref="G4:G27"/>
  </sortState>
  <phoneticPr fontId="5" type="noConversion"/>
  <pageMargins left="0.38" right="0.42" top="0.46" bottom="0.4" header="0.43" footer="0.32"/>
  <pageSetup paperSize="9" scale="8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="60" zoomScaleNormal="60" workbookViewId="0">
      <pane xSplit="2" topLeftCell="C1" activePane="topRight" state="frozen"/>
      <selection pane="topRight" activeCell="K3" sqref="K3"/>
    </sheetView>
  </sheetViews>
  <sheetFormatPr defaultRowHeight="12.75"/>
  <cols>
    <col min="1" max="1" width="4.5703125" customWidth="1"/>
    <col min="2" max="2" width="48.42578125" customWidth="1"/>
    <col min="3" max="3" width="17" customWidth="1"/>
    <col min="4" max="4" width="17.7109375" customWidth="1"/>
    <col min="5" max="5" width="22.7109375" customWidth="1"/>
    <col min="6" max="6" width="13.28515625" customWidth="1"/>
    <col min="7" max="7" width="22.7109375" customWidth="1"/>
    <col min="8" max="8" width="16" customWidth="1"/>
    <col min="9" max="9" width="25.28515625" customWidth="1"/>
    <col min="10" max="10" width="19" customWidth="1"/>
    <col min="11" max="11" width="18" customWidth="1"/>
  </cols>
  <sheetData>
    <row r="1" spans="1:11" ht="48.75" customHeight="1">
      <c r="B1" s="121" t="s">
        <v>107</v>
      </c>
      <c r="C1" s="127"/>
      <c r="D1" s="4"/>
      <c r="F1" s="7"/>
      <c r="G1" s="7"/>
      <c r="H1" s="7"/>
      <c r="I1" s="7"/>
      <c r="J1" s="7"/>
      <c r="K1" s="7"/>
    </row>
    <row r="2" spans="1:11" ht="108" customHeight="1">
      <c r="A2" s="106" t="s">
        <v>127</v>
      </c>
      <c r="B2" s="55" t="s">
        <v>0</v>
      </c>
      <c r="C2" s="55" t="s">
        <v>152</v>
      </c>
      <c r="D2" s="55" t="s">
        <v>137</v>
      </c>
      <c r="E2" s="55" t="s">
        <v>173</v>
      </c>
      <c r="F2" s="55" t="s">
        <v>174</v>
      </c>
      <c r="G2" s="55" t="s">
        <v>175</v>
      </c>
      <c r="H2" s="55" t="s">
        <v>176</v>
      </c>
      <c r="I2" s="55" t="s">
        <v>177</v>
      </c>
      <c r="J2" s="55" t="s">
        <v>178</v>
      </c>
      <c r="K2" s="55" t="s">
        <v>134</v>
      </c>
    </row>
    <row r="3" spans="1:11" ht="31.5">
      <c r="A3" s="43">
        <v>1</v>
      </c>
      <c r="B3" s="138" t="s">
        <v>122</v>
      </c>
      <c r="C3" s="73">
        <v>21</v>
      </c>
      <c r="D3" s="25">
        <v>23</v>
      </c>
      <c r="E3" s="81">
        <v>366</v>
      </c>
      <c r="F3" s="11">
        <v>1163</v>
      </c>
      <c r="G3" s="81">
        <v>2330</v>
      </c>
      <c r="H3" s="28">
        <v>4821</v>
      </c>
      <c r="I3" s="74">
        <v>6067</v>
      </c>
      <c r="J3" s="28">
        <v>46279</v>
      </c>
      <c r="K3" s="23">
        <f t="shared" ref="K3:K33" si="0">C3/D3+E3/F3+G3/H3+I3/J3</f>
        <v>1.8421452286457285</v>
      </c>
    </row>
    <row r="4" spans="1:11" s="10" customFormat="1" ht="20.25" customHeight="1">
      <c r="A4" s="46">
        <v>2</v>
      </c>
      <c r="B4" s="9" t="s">
        <v>14</v>
      </c>
      <c r="C4" s="73">
        <v>12</v>
      </c>
      <c r="D4" s="25">
        <v>23</v>
      </c>
      <c r="E4" s="75">
        <v>148</v>
      </c>
      <c r="F4" s="11">
        <v>1163</v>
      </c>
      <c r="G4" s="75">
        <v>640</v>
      </c>
      <c r="H4" s="28">
        <v>4821</v>
      </c>
      <c r="I4" s="74">
        <v>4898</v>
      </c>
      <c r="J4" s="28">
        <v>46279</v>
      </c>
      <c r="K4" s="23">
        <f t="shared" si="0"/>
        <v>0.88758510558131165</v>
      </c>
    </row>
    <row r="5" spans="1:11" s="10" customFormat="1" ht="31.5">
      <c r="A5" s="43">
        <v>3</v>
      </c>
      <c r="B5" s="9" t="s">
        <v>5</v>
      </c>
      <c r="C5" s="73">
        <v>9</v>
      </c>
      <c r="D5" s="25">
        <v>23</v>
      </c>
      <c r="E5" s="11">
        <v>158</v>
      </c>
      <c r="F5" s="11">
        <v>1163</v>
      </c>
      <c r="G5" s="25">
        <v>913</v>
      </c>
      <c r="H5" s="28">
        <v>4821</v>
      </c>
      <c r="I5" s="74">
        <v>2027</v>
      </c>
      <c r="J5" s="28">
        <v>46279</v>
      </c>
      <c r="K5" s="23">
        <f t="shared" si="0"/>
        <v>0.76033925406740832</v>
      </c>
    </row>
    <row r="6" spans="1:11" s="10" customFormat="1" ht="15.75">
      <c r="A6" s="46">
        <v>4</v>
      </c>
      <c r="B6" s="9" t="s">
        <v>25</v>
      </c>
      <c r="C6" s="73">
        <v>8</v>
      </c>
      <c r="D6" s="25">
        <v>23</v>
      </c>
      <c r="E6" s="75">
        <v>228</v>
      </c>
      <c r="F6" s="11">
        <v>1163</v>
      </c>
      <c r="G6" s="75">
        <v>609</v>
      </c>
      <c r="H6" s="28">
        <v>4821</v>
      </c>
      <c r="I6" s="74">
        <v>2461</v>
      </c>
      <c r="J6" s="28">
        <v>46279</v>
      </c>
      <c r="K6" s="23">
        <f t="shared" si="0"/>
        <v>0.72337060577361423</v>
      </c>
    </row>
    <row r="7" spans="1:11" s="10" customFormat="1" ht="15.75">
      <c r="A7" s="43">
        <v>5</v>
      </c>
      <c r="B7" s="9" t="s">
        <v>13</v>
      </c>
      <c r="C7" s="73">
        <v>10</v>
      </c>
      <c r="D7" s="25">
        <v>23</v>
      </c>
      <c r="E7" s="75">
        <v>141</v>
      </c>
      <c r="F7" s="11">
        <v>1163</v>
      </c>
      <c r="G7" s="75">
        <v>548</v>
      </c>
      <c r="H7" s="28">
        <v>4821</v>
      </c>
      <c r="I7" s="74">
        <v>1822</v>
      </c>
      <c r="J7" s="28">
        <v>46279</v>
      </c>
      <c r="K7" s="23">
        <f t="shared" si="0"/>
        <v>0.70906005762427637</v>
      </c>
    </row>
    <row r="8" spans="1:11" s="10" customFormat="1" ht="15.75">
      <c r="A8" s="46">
        <v>6</v>
      </c>
      <c r="B8" s="9" t="s">
        <v>28</v>
      </c>
      <c r="C8" s="73">
        <v>14</v>
      </c>
      <c r="D8" s="75">
        <v>23</v>
      </c>
      <c r="E8" s="75">
        <v>50</v>
      </c>
      <c r="F8" s="165">
        <v>1163</v>
      </c>
      <c r="G8" s="75">
        <v>109</v>
      </c>
      <c r="H8" s="74">
        <v>4821</v>
      </c>
      <c r="I8" s="74">
        <v>760</v>
      </c>
      <c r="J8" s="28">
        <v>46279</v>
      </c>
      <c r="K8" s="23">
        <f t="shared" si="0"/>
        <v>0.6907194660099889</v>
      </c>
    </row>
    <row r="9" spans="1:11" s="10" customFormat="1" ht="15.75">
      <c r="A9" s="43">
        <v>7</v>
      </c>
      <c r="B9" s="9" t="s">
        <v>11</v>
      </c>
      <c r="C9" s="73">
        <v>9</v>
      </c>
      <c r="D9" s="25">
        <v>23</v>
      </c>
      <c r="E9" s="75">
        <v>152</v>
      </c>
      <c r="F9" s="11">
        <v>1163</v>
      </c>
      <c r="G9" s="75">
        <v>324</v>
      </c>
      <c r="H9" s="28">
        <v>4821</v>
      </c>
      <c r="I9" s="74">
        <v>1380</v>
      </c>
      <c r="J9" s="28">
        <v>46279</v>
      </c>
      <c r="K9" s="23">
        <f t="shared" si="0"/>
        <v>0.61902593675586115</v>
      </c>
    </row>
    <row r="10" spans="1:11" s="10" customFormat="1" ht="15.75">
      <c r="A10" s="46">
        <v>8</v>
      </c>
      <c r="B10" s="9" t="s">
        <v>16</v>
      </c>
      <c r="C10" s="73">
        <v>8</v>
      </c>
      <c r="D10" s="25">
        <v>23</v>
      </c>
      <c r="E10" s="75">
        <v>108</v>
      </c>
      <c r="F10" s="11">
        <v>1163</v>
      </c>
      <c r="G10" s="75">
        <v>413</v>
      </c>
      <c r="H10" s="28">
        <v>4821</v>
      </c>
      <c r="I10" s="74">
        <v>755</v>
      </c>
      <c r="J10" s="28">
        <v>46279</v>
      </c>
      <c r="K10" s="23">
        <f t="shared" si="0"/>
        <v>0.5426703406036758</v>
      </c>
    </row>
    <row r="11" spans="1:11" s="10" customFormat="1" ht="15.75">
      <c r="A11" s="43">
        <v>9</v>
      </c>
      <c r="B11" s="9" t="s">
        <v>19</v>
      </c>
      <c r="C11" s="73">
        <v>7</v>
      </c>
      <c r="D11" s="25">
        <v>23</v>
      </c>
      <c r="E11" s="81">
        <v>99</v>
      </c>
      <c r="F11" s="11">
        <v>1163</v>
      </c>
      <c r="G11" s="81">
        <v>219</v>
      </c>
      <c r="H11" s="28">
        <v>4821</v>
      </c>
      <c r="I11" s="74">
        <v>1651</v>
      </c>
      <c r="J11" s="28">
        <v>46279</v>
      </c>
      <c r="K11" s="23">
        <f t="shared" si="0"/>
        <v>0.47057369191016407</v>
      </c>
    </row>
    <row r="12" spans="1:11" s="10" customFormat="1" ht="15.75">
      <c r="A12" s="46">
        <v>10</v>
      </c>
      <c r="B12" s="9" t="s">
        <v>17</v>
      </c>
      <c r="C12" s="73">
        <v>7</v>
      </c>
      <c r="D12" s="25">
        <v>23</v>
      </c>
      <c r="E12" s="75">
        <v>72</v>
      </c>
      <c r="F12" s="11">
        <v>1163</v>
      </c>
      <c r="G12" s="75">
        <v>173</v>
      </c>
      <c r="H12" s="28">
        <v>4821</v>
      </c>
      <c r="I12" s="74">
        <v>407</v>
      </c>
      <c r="J12" s="28">
        <v>46279</v>
      </c>
      <c r="K12" s="23">
        <f t="shared" si="0"/>
        <v>0.41093583934266625</v>
      </c>
    </row>
    <row r="13" spans="1:11" s="10" customFormat="1" ht="15.75">
      <c r="A13" s="43">
        <v>11</v>
      </c>
      <c r="B13" s="9" t="s">
        <v>12</v>
      </c>
      <c r="C13" s="73">
        <v>5</v>
      </c>
      <c r="D13" s="25">
        <v>23</v>
      </c>
      <c r="E13" s="75">
        <v>59</v>
      </c>
      <c r="F13" s="11">
        <v>1163</v>
      </c>
      <c r="G13" s="75">
        <v>132</v>
      </c>
      <c r="H13" s="28">
        <v>4821</v>
      </c>
      <c r="I13" s="74">
        <v>2588</v>
      </c>
      <c r="J13" s="28">
        <v>46279</v>
      </c>
      <c r="K13" s="23">
        <f t="shared" si="0"/>
        <v>0.35142407671012821</v>
      </c>
    </row>
    <row r="14" spans="1:11" s="10" customFormat="1" ht="15.75">
      <c r="A14" s="46">
        <v>12</v>
      </c>
      <c r="B14" s="9" t="s">
        <v>15</v>
      </c>
      <c r="C14" s="73">
        <v>5</v>
      </c>
      <c r="D14" s="25">
        <v>23</v>
      </c>
      <c r="E14" s="75">
        <v>69</v>
      </c>
      <c r="F14" s="11">
        <v>1163</v>
      </c>
      <c r="G14" s="75">
        <v>146</v>
      </c>
      <c r="H14" s="28">
        <v>4821</v>
      </c>
      <c r="I14" s="74">
        <v>1430</v>
      </c>
      <c r="J14" s="28">
        <v>46279</v>
      </c>
      <c r="K14" s="23">
        <f t="shared" si="0"/>
        <v>0.33790434254776719</v>
      </c>
    </row>
    <row r="15" spans="1:11" s="10" customFormat="1" ht="31.5">
      <c r="A15" s="43">
        <v>13</v>
      </c>
      <c r="B15" s="9" t="s">
        <v>4</v>
      </c>
      <c r="C15" s="73">
        <v>4</v>
      </c>
      <c r="D15" s="25">
        <v>23</v>
      </c>
      <c r="E15" s="75">
        <v>36</v>
      </c>
      <c r="F15" s="11">
        <v>1163</v>
      </c>
      <c r="G15" s="75">
        <v>68</v>
      </c>
      <c r="H15" s="28">
        <v>4821</v>
      </c>
      <c r="I15" s="74">
        <v>4760</v>
      </c>
      <c r="J15" s="28">
        <v>46279</v>
      </c>
      <c r="K15" s="23">
        <f t="shared" si="0"/>
        <v>0.32182685557259422</v>
      </c>
    </row>
    <row r="16" spans="1:11" s="10" customFormat="1" ht="15.75">
      <c r="A16" s="46">
        <v>14</v>
      </c>
      <c r="B16" s="9" t="s">
        <v>10</v>
      </c>
      <c r="C16" s="73">
        <v>5</v>
      </c>
      <c r="D16" s="25">
        <v>23</v>
      </c>
      <c r="E16" s="81">
        <v>30</v>
      </c>
      <c r="F16" s="11">
        <v>1163</v>
      </c>
      <c r="G16" s="81">
        <v>96</v>
      </c>
      <c r="H16" s="28">
        <v>4821</v>
      </c>
      <c r="I16" s="74">
        <v>1392</v>
      </c>
      <c r="J16" s="28">
        <v>46279</v>
      </c>
      <c r="K16" s="23">
        <f t="shared" si="0"/>
        <v>0.29317797963276315</v>
      </c>
    </row>
    <row r="17" spans="1:11" s="10" customFormat="1" ht="15.75">
      <c r="A17" s="43">
        <v>15</v>
      </c>
      <c r="B17" s="9" t="s">
        <v>18</v>
      </c>
      <c r="C17" s="73">
        <v>5</v>
      </c>
      <c r="D17" s="25">
        <v>23</v>
      </c>
      <c r="E17" s="75">
        <v>17</v>
      </c>
      <c r="F17" s="11">
        <v>1163</v>
      </c>
      <c r="G17" s="75">
        <v>92</v>
      </c>
      <c r="H17" s="28">
        <v>4821</v>
      </c>
      <c r="I17" s="74">
        <v>405</v>
      </c>
      <c r="J17" s="28">
        <v>46279</v>
      </c>
      <c r="K17" s="23">
        <f t="shared" si="0"/>
        <v>0.2598431204596538</v>
      </c>
    </row>
    <row r="18" spans="1:11" s="10" customFormat="1" ht="15.75">
      <c r="A18" s="46">
        <v>16</v>
      </c>
      <c r="B18" s="9" t="s">
        <v>9</v>
      </c>
      <c r="C18" s="73">
        <v>4</v>
      </c>
      <c r="D18" s="25">
        <v>23</v>
      </c>
      <c r="E18" s="75">
        <v>31</v>
      </c>
      <c r="F18" s="11">
        <v>1163</v>
      </c>
      <c r="G18" s="75">
        <v>55</v>
      </c>
      <c r="H18" s="28">
        <v>4821</v>
      </c>
      <c r="I18" s="74">
        <v>1801</v>
      </c>
      <c r="J18" s="28">
        <v>46279</v>
      </c>
      <c r="K18" s="23">
        <f t="shared" si="0"/>
        <v>0.25089280610076337</v>
      </c>
    </row>
    <row r="19" spans="1:11" s="10" customFormat="1" ht="31.5">
      <c r="A19" s="43">
        <v>17</v>
      </c>
      <c r="B19" s="9" t="s">
        <v>7</v>
      </c>
      <c r="C19" s="73">
        <v>4</v>
      </c>
      <c r="D19" s="25">
        <v>23</v>
      </c>
      <c r="E19" s="75">
        <v>31</v>
      </c>
      <c r="F19" s="11">
        <v>1163</v>
      </c>
      <c r="G19" s="75">
        <v>51</v>
      </c>
      <c r="H19" s="28">
        <v>4821</v>
      </c>
      <c r="I19" s="74">
        <v>1601</v>
      </c>
      <c r="J19" s="28">
        <v>46279</v>
      </c>
      <c r="K19" s="23">
        <f t="shared" si="0"/>
        <v>0.24574148816452426</v>
      </c>
    </row>
    <row r="20" spans="1:11" s="10" customFormat="1" ht="31.5">
      <c r="A20" s="46">
        <v>18</v>
      </c>
      <c r="B20" s="9" t="s">
        <v>23</v>
      </c>
      <c r="C20" s="73">
        <v>4</v>
      </c>
      <c r="D20" s="25">
        <v>23</v>
      </c>
      <c r="E20" s="75">
        <v>29</v>
      </c>
      <c r="F20" s="11">
        <v>1163</v>
      </c>
      <c r="G20" s="75">
        <v>96</v>
      </c>
      <c r="H20" s="28">
        <v>4821</v>
      </c>
      <c r="I20" s="74">
        <v>311</v>
      </c>
      <c r="J20" s="28">
        <v>46279</v>
      </c>
      <c r="K20" s="23">
        <f t="shared" si="0"/>
        <v>0.22548154686449473</v>
      </c>
    </row>
    <row r="21" spans="1:11" s="10" customFormat="1" ht="15.75">
      <c r="A21" s="43">
        <v>19</v>
      </c>
      <c r="B21" s="9" t="s">
        <v>29</v>
      </c>
      <c r="C21" s="73">
        <v>4</v>
      </c>
      <c r="D21" s="25">
        <v>23</v>
      </c>
      <c r="E21" s="75">
        <v>28</v>
      </c>
      <c r="F21" s="11">
        <v>1163</v>
      </c>
      <c r="G21" s="75">
        <v>49</v>
      </c>
      <c r="H21" s="28">
        <v>4821</v>
      </c>
      <c r="I21" s="74">
        <v>775</v>
      </c>
      <c r="J21" s="28">
        <v>46279</v>
      </c>
      <c r="K21" s="23">
        <f t="shared" si="0"/>
        <v>0.22489883267745969</v>
      </c>
    </row>
    <row r="22" spans="1:11" s="10" customFormat="1" ht="15.75">
      <c r="A22" s="46">
        <v>20</v>
      </c>
      <c r="B22" s="9" t="s">
        <v>26</v>
      </c>
      <c r="C22" s="73">
        <v>3</v>
      </c>
      <c r="D22" s="25">
        <v>23</v>
      </c>
      <c r="E22" s="75">
        <v>49</v>
      </c>
      <c r="F22" s="11">
        <v>1163</v>
      </c>
      <c r="G22" s="75">
        <v>44</v>
      </c>
      <c r="H22" s="28">
        <v>4821</v>
      </c>
      <c r="I22" s="74">
        <v>1339</v>
      </c>
      <c r="J22" s="28">
        <v>46279</v>
      </c>
      <c r="K22" s="23">
        <f t="shared" si="0"/>
        <v>0.21062714541228938</v>
      </c>
    </row>
    <row r="23" spans="1:11" s="10" customFormat="1" ht="15.75">
      <c r="A23" s="43">
        <v>21</v>
      </c>
      <c r="B23" s="9" t="s">
        <v>31</v>
      </c>
      <c r="C23" s="73">
        <v>3</v>
      </c>
      <c r="D23" s="25">
        <v>23</v>
      </c>
      <c r="E23" s="75">
        <v>63</v>
      </c>
      <c r="F23" s="11">
        <v>1163</v>
      </c>
      <c r="G23" s="75">
        <v>63</v>
      </c>
      <c r="H23" s="28">
        <v>4821</v>
      </c>
      <c r="I23" s="74">
        <v>456</v>
      </c>
      <c r="J23" s="28">
        <v>46279</v>
      </c>
      <c r="K23" s="23">
        <f t="shared" si="0"/>
        <v>0.2075261414010629</v>
      </c>
    </row>
    <row r="24" spans="1:11" s="10" customFormat="1" ht="31.5">
      <c r="A24" s="46">
        <v>22</v>
      </c>
      <c r="B24" s="138" t="s">
        <v>20</v>
      </c>
      <c r="C24" s="73">
        <v>3</v>
      </c>
      <c r="D24" s="25">
        <v>23</v>
      </c>
      <c r="E24" s="75">
        <v>31</v>
      </c>
      <c r="F24" s="11">
        <v>1163</v>
      </c>
      <c r="G24" s="75">
        <v>92</v>
      </c>
      <c r="H24" s="28">
        <v>4821</v>
      </c>
      <c r="I24" s="74">
        <v>1189</v>
      </c>
      <c r="J24" s="28">
        <v>46279</v>
      </c>
      <c r="K24" s="23">
        <f t="shared" si="0"/>
        <v>0.20186516096692461</v>
      </c>
    </row>
    <row r="25" spans="1:11" s="10" customFormat="1" ht="31.5">
      <c r="A25" s="43">
        <v>23</v>
      </c>
      <c r="B25" s="9" t="s">
        <v>24</v>
      </c>
      <c r="C25" s="73">
        <v>3</v>
      </c>
      <c r="D25" s="25">
        <v>23</v>
      </c>
      <c r="E25" s="75">
        <v>47</v>
      </c>
      <c r="F25" s="11">
        <v>1163</v>
      </c>
      <c r="G25" s="75">
        <v>38</v>
      </c>
      <c r="H25" s="28">
        <v>4821</v>
      </c>
      <c r="I25" s="74">
        <v>325</v>
      </c>
      <c r="J25" s="28">
        <v>46279</v>
      </c>
      <c r="K25" s="23">
        <f t="shared" si="0"/>
        <v>0.18575231409015658</v>
      </c>
    </row>
    <row r="26" spans="1:11" s="10" customFormat="1" ht="15.75">
      <c r="A26" s="46">
        <v>24</v>
      </c>
      <c r="B26" s="9" t="s">
        <v>8</v>
      </c>
      <c r="C26" s="73">
        <v>2</v>
      </c>
      <c r="D26" s="25">
        <v>23</v>
      </c>
      <c r="E26" s="81">
        <v>23</v>
      </c>
      <c r="F26" s="11">
        <v>1163</v>
      </c>
      <c r="G26" s="81">
        <v>86</v>
      </c>
      <c r="H26" s="28">
        <v>4821</v>
      </c>
      <c r="I26" s="74">
        <v>2537</v>
      </c>
      <c r="J26" s="28">
        <v>46279</v>
      </c>
      <c r="K26" s="23">
        <f t="shared" si="0"/>
        <v>0.17939126530495897</v>
      </c>
    </row>
    <row r="27" spans="1:11" s="10" customFormat="1" ht="15.75">
      <c r="A27" s="43">
        <v>25</v>
      </c>
      <c r="B27" s="9" t="s">
        <v>6</v>
      </c>
      <c r="C27" s="73">
        <v>3</v>
      </c>
      <c r="D27" s="25">
        <v>23</v>
      </c>
      <c r="E27" s="75">
        <v>6</v>
      </c>
      <c r="F27" s="11">
        <v>1163</v>
      </c>
      <c r="G27" s="75">
        <v>21</v>
      </c>
      <c r="H27" s="28">
        <v>4821</v>
      </c>
      <c r="I27" s="74">
        <v>1313</v>
      </c>
      <c r="J27" s="28">
        <v>46279</v>
      </c>
      <c r="K27" s="23">
        <f t="shared" si="0"/>
        <v>0.16832119628118997</v>
      </c>
    </row>
    <row r="28" spans="1:11" s="10" customFormat="1" ht="15.75">
      <c r="A28" s="46">
        <v>26</v>
      </c>
      <c r="B28" s="138" t="s">
        <v>30</v>
      </c>
      <c r="C28" s="73">
        <v>3</v>
      </c>
      <c r="D28" s="25">
        <v>23</v>
      </c>
      <c r="E28" s="75">
        <v>28</v>
      </c>
      <c r="F28" s="11">
        <v>1163</v>
      </c>
      <c r="G28" s="75">
        <v>37</v>
      </c>
      <c r="H28" s="28">
        <v>4821</v>
      </c>
      <c r="I28" s="74">
        <v>205</v>
      </c>
      <c r="J28" s="28">
        <v>46279</v>
      </c>
      <c r="K28" s="23">
        <f t="shared" si="0"/>
        <v>0.16661486018245683</v>
      </c>
    </row>
    <row r="29" spans="1:11" s="10" customFormat="1" ht="15.75">
      <c r="A29" s="43">
        <v>27</v>
      </c>
      <c r="B29" s="9" t="s">
        <v>21</v>
      </c>
      <c r="C29" s="73">
        <v>2</v>
      </c>
      <c r="D29" s="25">
        <v>23</v>
      </c>
      <c r="E29" s="75">
        <v>42</v>
      </c>
      <c r="F29" s="11">
        <v>1163</v>
      </c>
      <c r="G29" s="75">
        <v>31</v>
      </c>
      <c r="H29" s="28">
        <v>4821</v>
      </c>
      <c r="I29" s="74">
        <v>710</v>
      </c>
      <c r="J29" s="28">
        <v>46279</v>
      </c>
      <c r="K29" s="23">
        <f t="shared" si="0"/>
        <v>0.14484195418322998</v>
      </c>
    </row>
    <row r="30" spans="1:11" s="10" customFormat="1" ht="15.75">
      <c r="A30" s="46">
        <v>28</v>
      </c>
      <c r="B30" s="9" t="s">
        <v>22</v>
      </c>
      <c r="C30" s="73">
        <v>2</v>
      </c>
      <c r="D30" s="25">
        <v>23</v>
      </c>
      <c r="E30" s="75">
        <v>2</v>
      </c>
      <c r="F30" s="11">
        <v>1163</v>
      </c>
      <c r="G30" s="75">
        <v>3</v>
      </c>
      <c r="H30" s="28">
        <v>4821</v>
      </c>
      <c r="I30" s="74">
        <v>165</v>
      </c>
      <c r="J30" s="28">
        <v>46279</v>
      </c>
      <c r="K30" s="23">
        <f t="shared" si="0"/>
        <v>9.2863821738667557E-2</v>
      </c>
    </row>
    <row r="31" spans="1:11" s="10" customFormat="1" ht="15.75">
      <c r="A31" s="43">
        <v>29</v>
      </c>
      <c r="B31" s="9" t="s">
        <v>27</v>
      </c>
      <c r="C31" s="73">
        <v>1</v>
      </c>
      <c r="D31" s="25">
        <v>23</v>
      </c>
      <c r="E31" s="75">
        <v>6</v>
      </c>
      <c r="F31" s="11">
        <v>1163</v>
      </c>
      <c r="G31" s="75">
        <v>4</v>
      </c>
      <c r="H31" s="28">
        <v>4821</v>
      </c>
      <c r="I31" s="74">
        <v>440</v>
      </c>
      <c r="J31" s="28">
        <v>46279</v>
      </c>
      <c r="K31" s="23">
        <f t="shared" si="0"/>
        <v>5.8974587639195615E-2</v>
      </c>
    </row>
    <row r="32" spans="1:11" s="10" customFormat="1" ht="15.75">
      <c r="A32" s="46">
        <v>30</v>
      </c>
      <c r="B32" s="9" t="s">
        <v>103</v>
      </c>
      <c r="C32" s="73">
        <v>0</v>
      </c>
      <c r="D32" s="25">
        <v>23</v>
      </c>
      <c r="E32" s="75">
        <v>1</v>
      </c>
      <c r="F32" s="11">
        <v>1163</v>
      </c>
      <c r="G32" s="75">
        <v>0</v>
      </c>
      <c r="H32" s="28">
        <v>4821</v>
      </c>
      <c r="I32" s="74">
        <v>227</v>
      </c>
      <c r="J32" s="28">
        <v>46279</v>
      </c>
      <c r="K32" s="23">
        <f t="shared" si="0"/>
        <v>5.7648777480085135E-3</v>
      </c>
    </row>
    <row r="33" spans="1:11" s="10" customFormat="1" ht="15.75">
      <c r="A33" s="43">
        <v>31</v>
      </c>
      <c r="B33" s="9" t="s">
        <v>32</v>
      </c>
      <c r="C33" s="73">
        <v>0</v>
      </c>
      <c r="D33" s="25">
        <v>23</v>
      </c>
      <c r="E33" s="75">
        <v>0</v>
      </c>
      <c r="F33" s="11">
        <v>1163</v>
      </c>
      <c r="G33" s="75">
        <v>0</v>
      </c>
      <c r="H33" s="28">
        <v>4821</v>
      </c>
      <c r="I33" s="74">
        <v>82</v>
      </c>
      <c r="J33" s="28">
        <v>46279</v>
      </c>
      <c r="K33" s="23">
        <f t="shared" si="0"/>
        <v>1.771861967631107E-3</v>
      </c>
    </row>
    <row r="34" spans="1:11" ht="15.75">
      <c r="A34" s="2"/>
      <c r="B34" s="47" t="s">
        <v>49</v>
      </c>
      <c r="C34" s="62"/>
      <c r="D34" s="62"/>
      <c r="E34" s="63"/>
      <c r="F34" s="63"/>
      <c r="G34" s="76"/>
      <c r="H34" s="76"/>
      <c r="I34" s="76"/>
      <c r="J34" s="64"/>
      <c r="K34" s="41"/>
    </row>
    <row r="35" spans="1:11" ht="54" customHeight="1">
      <c r="A35" s="2"/>
      <c r="B35" s="122"/>
      <c r="C35" s="123"/>
      <c r="D35" s="123"/>
      <c r="E35" s="29"/>
      <c r="F35" s="29"/>
      <c r="G35" s="29"/>
      <c r="H35" s="124"/>
      <c r="I35" s="125"/>
      <c r="J35" s="124"/>
      <c r="K35" s="126"/>
    </row>
    <row r="36" spans="1:11" ht="40.5">
      <c r="A36" s="72"/>
      <c r="B36" s="70" t="s">
        <v>108</v>
      </c>
      <c r="C36" s="38"/>
      <c r="D36" s="38"/>
      <c r="E36" s="42"/>
      <c r="F36" s="42"/>
      <c r="G36" s="42"/>
      <c r="H36" s="39"/>
      <c r="I36" s="39"/>
      <c r="J36" s="39"/>
      <c r="K36" s="39"/>
    </row>
    <row r="37" spans="1:11" ht="108" customHeight="1">
      <c r="A37" s="68"/>
      <c r="B37" s="55" t="s">
        <v>41</v>
      </c>
      <c r="C37" s="55" t="s">
        <v>94</v>
      </c>
      <c r="D37" s="55" t="s">
        <v>93</v>
      </c>
      <c r="E37" s="55" t="s">
        <v>54</v>
      </c>
      <c r="F37" s="55" t="s">
        <v>55</v>
      </c>
      <c r="G37" s="55" t="s">
        <v>56</v>
      </c>
      <c r="H37" s="55" t="s">
        <v>57</v>
      </c>
      <c r="I37" s="55" t="s">
        <v>58</v>
      </c>
      <c r="J37" s="55" t="s">
        <v>59</v>
      </c>
      <c r="K37" s="55" t="s">
        <v>60</v>
      </c>
    </row>
    <row r="38" spans="1:11" ht="18.75" customHeight="1">
      <c r="A38" s="43">
        <v>1</v>
      </c>
      <c r="B38" s="3" t="s">
        <v>34</v>
      </c>
      <c r="C38" s="25">
        <v>21</v>
      </c>
      <c r="D38" s="25">
        <v>23</v>
      </c>
      <c r="E38" s="11">
        <v>804</v>
      </c>
      <c r="F38" s="11">
        <v>1163</v>
      </c>
      <c r="G38" s="11">
        <v>3842</v>
      </c>
      <c r="H38" s="84">
        <v>4821</v>
      </c>
      <c r="I38" s="74">
        <v>19022</v>
      </c>
      <c r="J38" s="28">
        <v>46279</v>
      </c>
      <c r="K38" s="23">
        <f>C38/D38+E38/F38+G38/H38+I38/J38</f>
        <v>2.8123178992945057</v>
      </c>
    </row>
    <row r="39" spans="1:11" ht="35.25" customHeight="1">
      <c r="A39" s="43">
        <v>2</v>
      </c>
      <c r="B39" s="3" t="s">
        <v>36</v>
      </c>
      <c r="C39" s="25">
        <v>16</v>
      </c>
      <c r="D39" s="25">
        <v>23</v>
      </c>
      <c r="E39" s="11">
        <v>755</v>
      </c>
      <c r="F39" s="11">
        <v>1163</v>
      </c>
      <c r="G39" s="11">
        <v>2035</v>
      </c>
      <c r="H39" s="84">
        <v>4821</v>
      </c>
      <c r="I39" s="74">
        <v>8130</v>
      </c>
      <c r="J39" s="28">
        <v>46279</v>
      </c>
      <c r="K39" s="23">
        <f>C39/D39+E39/F39+G39/H39+I39/J39</f>
        <v>1.9426205477201191</v>
      </c>
    </row>
    <row r="40" spans="1:11" ht="31.5">
      <c r="A40" s="43">
        <v>3</v>
      </c>
      <c r="B40" s="3" t="s">
        <v>35</v>
      </c>
      <c r="C40" s="25">
        <v>7</v>
      </c>
      <c r="D40" s="25">
        <v>23</v>
      </c>
      <c r="E40" s="11">
        <v>456</v>
      </c>
      <c r="F40" s="11">
        <v>1163</v>
      </c>
      <c r="G40" s="11">
        <v>1272</v>
      </c>
      <c r="H40" s="84">
        <v>4821</v>
      </c>
      <c r="I40" s="74">
        <v>6492</v>
      </c>
      <c r="J40" s="28">
        <v>46279</v>
      </c>
      <c r="K40" s="23">
        <f>C40/D40+E40/F40+G40/H40+I40/J40</f>
        <v>1.1005625336235016</v>
      </c>
    </row>
    <row r="41" spans="1:11" ht="15.75" customHeight="1">
      <c r="A41" s="43">
        <v>4</v>
      </c>
      <c r="B41" s="3" t="s">
        <v>33</v>
      </c>
      <c r="C41" s="25">
        <v>10</v>
      </c>
      <c r="D41" s="25">
        <v>23</v>
      </c>
      <c r="E41" s="11">
        <v>135</v>
      </c>
      <c r="F41" s="11">
        <v>1163</v>
      </c>
      <c r="G41" s="11">
        <v>333</v>
      </c>
      <c r="H41" s="84">
        <v>4821</v>
      </c>
      <c r="I41" s="74">
        <v>12635</v>
      </c>
      <c r="J41" s="28">
        <v>46279</v>
      </c>
      <c r="K41" s="23">
        <f>C41/D41+E41/F41+G41/H41+I41/J41</f>
        <v>0.89295252045292406</v>
      </c>
    </row>
    <row r="42" spans="1:11" ht="15.75">
      <c r="A42" s="2"/>
      <c r="B42" s="47"/>
      <c r="C42" s="62"/>
      <c r="D42" s="111"/>
      <c r="E42" s="65"/>
      <c r="F42" s="112"/>
      <c r="G42" s="66"/>
      <c r="H42" s="66"/>
      <c r="I42" s="111"/>
      <c r="J42" s="67"/>
      <c r="K42" s="67"/>
    </row>
    <row r="44" spans="1:11" ht="15.75">
      <c r="B44" s="24"/>
      <c r="C44" s="24"/>
      <c r="D44" s="24"/>
    </row>
    <row r="45" spans="1:11" ht="15.75">
      <c r="B45" s="24"/>
      <c r="C45" s="24"/>
      <c r="D45" s="24"/>
    </row>
  </sheetData>
  <sortState ref="B3:K33">
    <sortCondition descending="1" ref="K3:K33"/>
  </sortState>
  <phoneticPr fontId="5" type="noConversion"/>
  <pageMargins left="0.2" right="0.02" top="0.49" bottom="0.17" header="0.25" footer="0.24"/>
  <pageSetup paperSize="9" scale="65" orientation="landscape" verticalDpi="300" r:id="rId1"/>
  <headerFooter alignWithMargins="0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workbookViewId="0">
      <selection activeCell="B1" sqref="B1"/>
    </sheetView>
  </sheetViews>
  <sheetFormatPr defaultRowHeight="12.75"/>
  <cols>
    <col min="1" max="1" width="4.85546875" customWidth="1"/>
    <col min="2" max="2" width="65.5703125" customWidth="1"/>
    <col min="3" max="3" width="19.28515625" customWidth="1"/>
    <col min="4" max="4" width="17.140625" customWidth="1"/>
    <col min="5" max="5" width="14.5703125" customWidth="1"/>
  </cols>
  <sheetData>
    <row r="1" spans="1:5" ht="45" customHeight="1">
      <c r="A1" s="20"/>
      <c r="B1" s="69" t="s">
        <v>109</v>
      </c>
      <c r="C1" s="32"/>
      <c r="D1" s="32"/>
      <c r="E1" s="32"/>
    </row>
    <row r="2" spans="1:5" ht="89.25">
      <c r="A2" s="106" t="s">
        <v>155</v>
      </c>
      <c r="B2" s="55" t="s">
        <v>0</v>
      </c>
      <c r="C2" s="55" t="s">
        <v>123</v>
      </c>
      <c r="D2" s="55" t="s">
        <v>47</v>
      </c>
      <c r="E2" s="55" t="s">
        <v>131</v>
      </c>
    </row>
    <row r="3" spans="1:5" ht="15.75">
      <c r="A3" s="43">
        <v>1</v>
      </c>
      <c r="B3" s="3" t="s">
        <v>29</v>
      </c>
      <c r="C3" s="11">
        <v>9.6300000000000008</v>
      </c>
      <c r="D3" s="25">
        <v>77</v>
      </c>
      <c r="E3" s="13">
        <f t="shared" ref="E3:E33" si="0">C3/D3</f>
        <v>0.12506493506493507</v>
      </c>
    </row>
    <row r="4" spans="1:5" ht="15.75">
      <c r="A4" s="43">
        <v>2</v>
      </c>
      <c r="B4" s="3" t="s">
        <v>19</v>
      </c>
      <c r="C4" s="11">
        <v>8</v>
      </c>
      <c r="D4" s="25">
        <v>77</v>
      </c>
      <c r="E4" s="13">
        <f t="shared" si="0"/>
        <v>0.1038961038961039</v>
      </c>
    </row>
    <row r="5" spans="1:5" ht="15.75">
      <c r="A5" s="43">
        <v>3</v>
      </c>
      <c r="B5" s="9" t="s">
        <v>14</v>
      </c>
      <c r="C5" s="11">
        <v>7</v>
      </c>
      <c r="D5" s="25">
        <v>77</v>
      </c>
      <c r="E5" s="13">
        <f t="shared" si="0"/>
        <v>9.0909090909090912E-2</v>
      </c>
    </row>
    <row r="6" spans="1:5" ht="15.75">
      <c r="A6" s="43">
        <v>4</v>
      </c>
      <c r="B6" s="3" t="s">
        <v>25</v>
      </c>
      <c r="C6" s="11">
        <v>6.88</v>
      </c>
      <c r="D6" s="25">
        <v>77</v>
      </c>
      <c r="E6" s="13">
        <f t="shared" si="0"/>
        <v>8.9350649350649347E-2</v>
      </c>
    </row>
    <row r="7" spans="1:5" ht="15.75">
      <c r="A7" s="43">
        <v>5</v>
      </c>
      <c r="B7" s="3" t="s">
        <v>10</v>
      </c>
      <c r="C7" s="11">
        <v>6.06</v>
      </c>
      <c r="D7" s="25">
        <v>77</v>
      </c>
      <c r="E7" s="13">
        <f t="shared" si="0"/>
        <v>7.8701298701298703E-2</v>
      </c>
    </row>
    <row r="8" spans="1:5" ht="15.75">
      <c r="A8" s="43">
        <v>6</v>
      </c>
      <c r="B8" s="3" t="s">
        <v>12</v>
      </c>
      <c r="C8" s="11">
        <v>6</v>
      </c>
      <c r="D8" s="25">
        <v>77</v>
      </c>
      <c r="E8" s="13">
        <f t="shared" si="0"/>
        <v>7.792207792207792E-2</v>
      </c>
    </row>
    <row r="9" spans="1:5" ht="15.75">
      <c r="A9" s="43">
        <v>7</v>
      </c>
      <c r="B9" s="3" t="s">
        <v>28</v>
      </c>
      <c r="C9" s="11">
        <v>4.46</v>
      </c>
      <c r="D9" s="25">
        <v>77</v>
      </c>
      <c r="E9" s="13">
        <f t="shared" si="0"/>
        <v>5.7922077922077923E-2</v>
      </c>
    </row>
    <row r="10" spans="1:5" ht="15.75">
      <c r="A10" s="43">
        <v>8</v>
      </c>
      <c r="B10" s="3" t="s">
        <v>5</v>
      </c>
      <c r="C10" s="11">
        <v>4</v>
      </c>
      <c r="D10" s="25">
        <v>77</v>
      </c>
      <c r="E10" s="13">
        <f t="shared" si="0"/>
        <v>5.1948051948051951E-2</v>
      </c>
    </row>
    <row r="11" spans="1:5" ht="15.75">
      <c r="A11" s="43">
        <v>9</v>
      </c>
      <c r="B11" s="3" t="s">
        <v>6</v>
      </c>
      <c r="C11" s="11">
        <v>4</v>
      </c>
      <c r="D11" s="25">
        <v>77</v>
      </c>
      <c r="E11" s="13">
        <f t="shared" si="0"/>
        <v>5.1948051948051951E-2</v>
      </c>
    </row>
    <row r="12" spans="1:5" ht="15.75">
      <c r="A12" s="43">
        <v>10</v>
      </c>
      <c r="B12" s="3" t="s">
        <v>21</v>
      </c>
      <c r="C12" s="11">
        <v>3.33</v>
      </c>
      <c r="D12" s="25">
        <v>77</v>
      </c>
      <c r="E12" s="13">
        <f t="shared" si="0"/>
        <v>4.3246753246753249E-2</v>
      </c>
    </row>
    <row r="13" spans="1:5" ht="17.25" customHeight="1">
      <c r="A13" s="43">
        <v>11</v>
      </c>
      <c r="B13" s="3" t="s">
        <v>4</v>
      </c>
      <c r="C13" s="11">
        <v>2.92</v>
      </c>
      <c r="D13" s="25">
        <v>77</v>
      </c>
      <c r="E13" s="13">
        <f t="shared" si="0"/>
        <v>3.7922077922077919E-2</v>
      </c>
    </row>
    <row r="14" spans="1:5" ht="18" customHeight="1">
      <c r="A14" s="43">
        <v>12</v>
      </c>
      <c r="B14" s="3" t="s">
        <v>18</v>
      </c>
      <c r="C14" s="11">
        <v>2.5</v>
      </c>
      <c r="D14" s="25">
        <v>77</v>
      </c>
      <c r="E14" s="13">
        <f t="shared" si="0"/>
        <v>3.2467532467532464E-2</v>
      </c>
    </row>
    <row r="15" spans="1:5" ht="15.75">
      <c r="A15" s="43">
        <v>13</v>
      </c>
      <c r="B15" s="3" t="s">
        <v>8</v>
      </c>
      <c r="C15" s="11">
        <v>2.16</v>
      </c>
      <c r="D15" s="25">
        <v>77</v>
      </c>
      <c r="E15" s="13">
        <f t="shared" si="0"/>
        <v>2.8051948051948054E-2</v>
      </c>
    </row>
    <row r="16" spans="1:5" ht="15.75">
      <c r="A16" s="43">
        <v>14</v>
      </c>
      <c r="B16" s="3" t="s">
        <v>15</v>
      </c>
      <c r="C16" s="25">
        <v>2</v>
      </c>
      <c r="D16" s="25">
        <v>77</v>
      </c>
      <c r="E16" s="13">
        <f t="shared" si="0"/>
        <v>2.5974025974025976E-2</v>
      </c>
    </row>
    <row r="17" spans="1:20" ht="16.5" customHeight="1">
      <c r="A17" s="43">
        <v>15</v>
      </c>
      <c r="B17" s="3" t="s">
        <v>24</v>
      </c>
      <c r="C17" s="11">
        <v>2</v>
      </c>
      <c r="D17" s="25">
        <v>77</v>
      </c>
      <c r="E17" s="13">
        <f t="shared" si="0"/>
        <v>2.5974025974025976E-2</v>
      </c>
    </row>
    <row r="18" spans="1:20" ht="14.25" customHeight="1">
      <c r="A18" s="43">
        <v>16</v>
      </c>
      <c r="B18" s="3" t="s">
        <v>16</v>
      </c>
      <c r="C18" s="11">
        <v>2</v>
      </c>
      <c r="D18" s="25">
        <v>77</v>
      </c>
      <c r="E18" s="13">
        <f t="shared" si="0"/>
        <v>2.5974025974025976E-2</v>
      </c>
    </row>
    <row r="19" spans="1:20" ht="15.75">
      <c r="A19" s="43">
        <v>17</v>
      </c>
      <c r="B19" s="3" t="s">
        <v>13</v>
      </c>
      <c r="C19" s="11">
        <v>1</v>
      </c>
      <c r="D19" s="25">
        <v>77</v>
      </c>
      <c r="E19" s="13">
        <f t="shared" si="0"/>
        <v>1.2987012987012988E-2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t="15.75">
      <c r="A20" s="43">
        <v>18</v>
      </c>
      <c r="B20" s="3" t="s">
        <v>27</v>
      </c>
      <c r="C20" s="11">
        <v>1</v>
      </c>
      <c r="D20" s="25">
        <v>77</v>
      </c>
      <c r="E20" s="13">
        <f t="shared" si="0"/>
        <v>1.2987012987012988E-2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5.75">
      <c r="A21" s="43">
        <v>19</v>
      </c>
      <c r="B21" s="3" t="s">
        <v>122</v>
      </c>
      <c r="C21" s="11">
        <v>1</v>
      </c>
      <c r="D21" s="25">
        <v>77</v>
      </c>
      <c r="E21" s="13">
        <f t="shared" si="0"/>
        <v>1.2987012987012988E-2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t="15.75">
      <c r="A22" s="43">
        <v>20</v>
      </c>
      <c r="B22" s="3" t="s">
        <v>17</v>
      </c>
      <c r="C22" s="11">
        <v>1</v>
      </c>
      <c r="D22" s="25">
        <v>77</v>
      </c>
      <c r="E22" s="13">
        <f t="shared" si="0"/>
        <v>1.2987012987012988E-2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t="15.75">
      <c r="A23" s="43">
        <v>21</v>
      </c>
      <c r="B23" s="3" t="s">
        <v>9</v>
      </c>
      <c r="C23" s="11">
        <v>0</v>
      </c>
      <c r="D23" s="25">
        <v>77</v>
      </c>
      <c r="E23" s="13">
        <f t="shared" si="0"/>
        <v>0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14.25" customHeight="1">
      <c r="A24" s="43">
        <v>22</v>
      </c>
      <c r="B24" s="3" t="s">
        <v>30</v>
      </c>
      <c r="C24" s="11">
        <v>0</v>
      </c>
      <c r="D24" s="25">
        <v>77</v>
      </c>
      <c r="E24" s="13">
        <f t="shared" si="0"/>
        <v>0</v>
      </c>
      <c r="K24" s="129"/>
      <c r="L24" s="157"/>
      <c r="M24" s="157"/>
      <c r="N24" s="157"/>
      <c r="O24" s="157"/>
      <c r="P24" s="157"/>
      <c r="Q24" s="157"/>
      <c r="R24" s="129"/>
      <c r="S24" s="129"/>
      <c r="T24" s="129"/>
    </row>
    <row r="25" spans="1:20" ht="15.75">
      <c r="A25" s="43">
        <v>23</v>
      </c>
      <c r="B25" s="3" t="s">
        <v>26</v>
      </c>
      <c r="C25" s="11">
        <v>0</v>
      </c>
      <c r="D25" s="25">
        <v>77</v>
      </c>
      <c r="E25" s="13">
        <f t="shared" si="0"/>
        <v>0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5.75">
      <c r="A26" s="43">
        <v>24</v>
      </c>
      <c r="B26" s="3" t="s">
        <v>23</v>
      </c>
      <c r="C26" s="11">
        <v>0</v>
      </c>
      <c r="D26" s="25">
        <v>77</v>
      </c>
      <c r="E26" s="13">
        <f t="shared" si="0"/>
        <v>0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t="15.75">
      <c r="A27" s="43">
        <v>25</v>
      </c>
      <c r="B27" s="3" t="s">
        <v>20</v>
      </c>
      <c r="C27" s="11">
        <v>0</v>
      </c>
      <c r="D27" s="25">
        <v>77</v>
      </c>
      <c r="E27" s="13">
        <f t="shared" si="0"/>
        <v>0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t="15.75">
      <c r="A28" s="43">
        <v>26</v>
      </c>
      <c r="B28" s="3" t="s">
        <v>11</v>
      </c>
      <c r="C28" s="11">
        <v>0</v>
      </c>
      <c r="D28" s="25">
        <v>77</v>
      </c>
      <c r="E28" s="13">
        <f t="shared" si="0"/>
        <v>0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t="15.75">
      <c r="A29" s="43">
        <v>27</v>
      </c>
      <c r="B29" s="3" t="s">
        <v>103</v>
      </c>
      <c r="C29" s="11">
        <v>0</v>
      </c>
      <c r="D29" s="25">
        <v>77</v>
      </c>
      <c r="E29" s="13">
        <f t="shared" si="0"/>
        <v>0</v>
      </c>
      <c r="K29" s="129"/>
      <c r="L29" s="157"/>
      <c r="M29" s="157"/>
      <c r="N29" s="157"/>
      <c r="O29" s="157"/>
      <c r="P29" s="157"/>
      <c r="Q29" s="157"/>
      <c r="R29" s="129"/>
      <c r="S29" s="129"/>
      <c r="T29" s="129"/>
    </row>
    <row r="30" spans="1:20" ht="16.5" customHeight="1">
      <c r="A30" s="43">
        <v>28</v>
      </c>
      <c r="B30" s="3" t="s">
        <v>31</v>
      </c>
      <c r="C30" s="11">
        <v>0</v>
      </c>
      <c r="D30" s="25">
        <v>77</v>
      </c>
      <c r="E30" s="13">
        <f t="shared" si="0"/>
        <v>0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t="15.75">
      <c r="A31" s="43">
        <v>29</v>
      </c>
      <c r="B31" s="3" t="s">
        <v>7</v>
      </c>
      <c r="C31" s="11">
        <v>0</v>
      </c>
      <c r="D31" s="25">
        <v>77</v>
      </c>
      <c r="E31" s="13">
        <f t="shared" si="0"/>
        <v>0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t="15.75">
      <c r="A32" s="43">
        <v>30</v>
      </c>
      <c r="B32" s="3" t="s">
        <v>22</v>
      </c>
      <c r="C32" s="11">
        <v>0</v>
      </c>
      <c r="D32" s="25">
        <v>77</v>
      </c>
      <c r="E32" s="13">
        <f t="shared" si="0"/>
        <v>0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t="15.75">
      <c r="A33" s="43">
        <v>31</v>
      </c>
      <c r="B33" s="3" t="s">
        <v>32</v>
      </c>
      <c r="C33" s="11">
        <v>0</v>
      </c>
      <c r="D33" s="25">
        <v>77</v>
      </c>
      <c r="E33" s="13">
        <f t="shared" si="0"/>
        <v>0</v>
      </c>
      <c r="K33" s="129"/>
      <c r="L33" s="157"/>
      <c r="M33" s="157"/>
      <c r="N33" s="157"/>
      <c r="O33" s="157"/>
      <c r="P33" s="157"/>
      <c r="Q33" s="157"/>
      <c r="R33" s="129"/>
      <c r="S33" s="129"/>
      <c r="T33" s="129"/>
    </row>
    <row r="34" spans="1:20" ht="15.75">
      <c r="A34" s="43"/>
      <c r="B34" s="17" t="s">
        <v>49</v>
      </c>
      <c r="C34" s="95">
        <f>SUM(C3:C33)</f>
        <v>76.94</v>
      </c>
      <c r="D34" s="25"/>
      <c r="E34" s="13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t="15.75">
      <c r="A35" s="116"/>
      <c r="B35" s="117"/>
      <c r="C35" s="118"/>
      <c r="D35" s="119"/>
      <c r="E35" s="120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5.75">
      <c r="A36" s="116"/>
      <c r="B36" s="117"/>
      <c r="C36" s="118"/>
      <c r="D36" s="119"/>
      <c r="E36" s="120"/>
      <c r="K36" s="129"/>
      <c r="L36" s="157"/>
      <c r="M36" s="157"/>
      <c r="N36" s="157"/>
      <c r="O36" s="157"/>
      <c r="P36" s="157"/>
      <c r="Q36" s="157"/>
      <c r="R36" s="129"/>
      <c r="S36" s="129"/>
      <c r="T36" s="129"/>
    </row>
    <row r="37" spans="1:20" ht="36.75" customHeight="1">
      <c r="A37" s="37"/>
      <c r="B37" s="70" t="s">
        <v>110</v>
      </c>
      <c r="C37" s="42"/>
      <c r="D37" s="42"/>
      <c r="E37" s="42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 ht="98.25" customHeight="1">
      <c r="A38" s="8" t="s">
        <v>92</v>
      </c>
      <c r="B38" s="55" t="s">
        <v>41</v>
      </c>
      <c r="C38" s="55" t="s">
        <v>124</v>
      </c>
      <c r="D38" s="55" t="s">
        <v>47</v>
      </c>
      <c r="E38" s="55" t="s">
        <v>48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 ht="31.5">
      <c r="A39" s="43">
        <v>1</v>
      </c>
      <c r="B39" s="3" t="s">
        <v>36</v>
      </c>
      <c r="C39" s="11">
        <v>24.84</v>
      </c>
      <c r="D39" s="25">
        <v>77</v>
      </c>
      <c r="E39" s="13">
        <f>C39/D39</f>
        <v>0.3225974025974026</v>
      </c>
    </row>
    <row r="40" spans="1:20" ht="15.75">
      <c r="A40" s="43">
        <v>2</v>
      </c>
      <c r="B40" s="3" t="s">
        <v>34</v>
      </c>
      <c r="C40" s="11">
        <v>24.73</v>
      </c>
      <c r="D40" s="25">
        <v>77</v>
      </c>
      <c r="E40" s="13">
        <f>C40/D40</f>
        <v>0.32116883116883116</v>
      </c>
    </row>
    <row r="41" spans="1:20" ht="15.75">
      <c r="A41" s="43">
        <v>3</v>
      </c>
      <c r="B41" s="3" t="s">
        <v>33</v>
      </c>
      <c r="C41" s="11">
        <v>16.14</v>
      </c>
      <c r="D41" s="25">
        <v>77</v>
      </c>
      <c r="E41" s="13">
        <f>C41/D41</f>
        <v>0.20961038961038961</v>
      </c>
    </row>
    <row r="42" spans="1:20" ht="31.5">
      <c r="A42" s="43">
        <v>4</v>
      </c>
      <c r="B42" s="3" t="s">
        <v>35</v>
      </c>
      <c r="C42" s="11">
        <v>11.33</v>
      </c>
      <c r="D42" s="25">
        <v>77</v>
      </c>
      <c r="E42" s="13">
        <f>C42/D42</f>
        <v>0.14714285714285713</v>
      </c>
    </row>
    <row r="43" spans="1:20" ht="15.75">
      <c r="A43" s="20"/>
      <c r="B43" s="40" t="s">
        <v>49</v>
      </c>
      <c r="C43" s="111">
        <f>SUM(C39:C42)</f>
        <v>77.040000000000006</v>
      </c>
      <c r="D43" s="41"/>
      <c r="E43" s="41"/>
    </row>
    <row r="45" spans="1:20" ht="15.75">
      <c r="B45" s="5"/>
    </row>
  </sheetData>
  <sortState ref="B3:E33">
    <sortCondition descending="1" ref="E3:E33"/>
  </sortState>
  <phoneticPr fontId="5" type="noConversion"/>
  <pageMargins left="0.39370078740157483" right="0.23622047244094491" top="0.47" bottom="0.31496062992125984" header="0.27559055118110237" footer="0.23622047244094491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workbookViewId="0">
      <selection activeCell="E32" sqref="E32"/>
    </sheetView>
  </sheetViews>
  <sheetFormatPr defaultRowHeight="12.75"/>
  <cols>
    <col min="1" max="1" width="7.140625" customWidth="1"/>
    <col min="2" max="2" width="68.7109375" customWidth="1"/>
    <col min="3" max="3" width="23.28515625" customWidth="1"/>
    <col min="4" max="4" width="21.85546875" customWidth="1"/>
    <col min="5" max="5" width="18.85546875" customWidth="1"/>
    <col min="8" max="8" width="10.5703125" bestFit="1" customWidth="1"/>
  </cols>
  <sheetData>
    <row r="1" spans="1:10" ht="40.5" customHeight="1">
      <c r="B1" s="58" t="s">
        <v>65</v>
      </c>
      <c r="C1" s="7"/>
      <c r="D1" s="7"/>
      <c r="E1" s="7"/>
    </row>
    <row r="2" spans="1:10" ht="80.25" customHeight="1">
      <c r="A2" s="43" t="s">
        <v>126</v>
      </c>
      <c r="B2" s="55" t="s">
        <v>0</v>
      </c>
      <c r="C2" s="55" t="s">
        <v>66</v>
      </c>
      <c r="D2" s="55" t="s">
        <v>166</v>
      </c>
      <c r="E2" s="55" t="s">
        <v>67</v>
      </c>
      <c r="H2" s="129"/>
      <c r="I2" s="129"/>
      <c r="J2" s="129"/>
    </row>
    <row r="3" spans="1:10" ht="15.75">
      <c r="A3" s="43">
        <v>1</v>
      </c>
      <c r="B3" s="3" t="s">
        <v>8</v>
      </c>
      <c r="C3" s="145">
        <v>245.23</v>
      </c>
      <c r="D3" s="161">
        <v>2115.4299999999998</v>
      </c>
      <c r="E3" s="96">
        <f t="shared" ref="E3:E33" si="0">C3/D3</f>
        <v>0.11592442198512833</v>
      </c>
      <c r="H3" s="148"/>
      <c r="I3" s="126"/>
      <c r="J3" s="129"/>
    </row>
    <row r="4" spans="1:10" ht="18.75" customHeight="1">
      <c r="A4" s="43">
        <v>2</v>
      </c>
      <c r="B4" s="3" t="s">
        <v>13</v>
      </c>
      <c r="C4" s="145">
        <v>193.33</v>
      </c>
      <c r="D4" s="161">
        <v>2115.4299999999998</v>
      </c>
      <c r="E4" s="96">
        <f t="shared" si="0"/>
        <v>9.1390402896810594E-2</v>
      </c>
      <c r="H4" s="149"/>
      <c r="I4" s="126"/>
      <c r="J4" s="129"/>
    </row>
    <row r="5" spans="1:10" ht="18" customHeight="1">
      <c r="A5" s="43">
        <v>3</v>
      </c>
      <c r="B5" s="3" t="s">
        <v>19</v>
      </c>
      <c r="C5" s="145">
        <v>151.26</v>
      </c>
      <c r="D5" s="161">
        <v>2115.4299999999998</v>
      </c>
      <c r="E5" s="96">
        <f t="shared" si="0"/>
        <v>7.1503193204218524E-2</v>
      </c>
      <c r="H5" s="149"/>
      <c r="I5" s="126"/>
      <c r="J5" s="129"/>
    </row>
    <row r="6" spans="1:10" ht="15.75">
      <c r="A6" s="43">
        <v>4</v>
      </c>
      <c r="B6" s="3" t="s">
        <v>122</v>
      </c>
      <c r="C6" s="145">
        <v>124.81</v>
      </c>
      <c r="D6" s="161">
        <v>2115.4299999999998</v>
      </c>
      <c r="E6" s="96">
        <f t="shared" si="0"/>
        <v>5.8999825094661611E-2</v>
      </c>
      <c r="H6" s="149"/>
      <c r="I6" s="126"/>
      <c r="J6" s="129"/>
    </row>
    <row r="7" spans="1:10" ht="15.75">
      <c r="A7" s="43">
        <v>5</v>
      </c>
      <c r="B7" s="3" t="s">
        <v>26</v>
      </c>
      <c r="C7" s="145">
        <v>123.69</v>
      </c>
      <c r="D7" s="161">
        <v>2115.4299999999998</v>
      </c>
      <c r="E7" s="96">
        <f t="shared" si="0"/>
        <v>5.8470381908169972E-2</v>
      </c>
      <c r="H7" s="149"/>
      <c r="I7" s="126"/>
      <c r="J7" s="129"/>
    </row>
    <row r="8" spans="1:10" ht="15" customHeight="1">
      <c r="A8" s="43">
        <v>6</v>
      </c>
      <c r="B8" s="3" t="s">
        <v>18</v>
      </c>
      <c r="C8" s="145">
        <v>122.78</v>
      </c>
      <c r="D8" s="161">
        <v>2115.4299999999998</v>
      </c>
      <c r="E8" s="96">
        <f t="shared" si="0"/>
        <v>5.8040209319145525E-2</v>
      </c>
      <c r="H8" s="149"/>
      <c r="I8" s="126"/>
      <c r="J8" s="129"/>
    </row>
    <row r="9" spans="1:10" ht="15" customHeight="1">
      <c r="A9" s="43">
        <v>7</v>
      </c>
      <c r="B9" s="3" t="s">
        <v>4</v>
      </c>
      <c r="C9" s="145">
        <v>122.45</v>
      </c>
      <c r="D9" s="161">
        <v>2115.4299999999998</v>
      </c>
      <c r="E9" s="96">
        <f t="shared" si="0"/>
        <v>5.7884212665982808E-2</v>
      </c>
      <c r="H9" s="149"/>
      <c r="I9" s="126"/>
      <c r="J9" s="129"/>
    </row>
    <row r="10" spans="1:10" ht="15.75">
      <c r="A10" s="43">
        <v>8</v>
      </c>
      <c r="B10" s="3" t="s">
        <v>14</v>
      </c>
      <c r="C10" s="145">
        <v>97.27</v>
      </c>
      <c r="D10" s="161">
        <v>2115.4299999999998</v>
      </c>
      <c r="E10" s="96">
        <f t="shared" si="0"/>
        <v>4.5981195312536929E-2</v>
      </c>
      <c r="H10" s="149"/>
      <c r="I10" s="126"/>
      <c r="J10" s="129"/>
    </row>
    <row r="11" spans="1:10" ht="15.75">
      <c r="A11" s="43">
        <v>9</v>
      </c>
      <c r="B11" s="3" t="s">
        <v>25</v>
      </c>
      <c r="C11" s="145">
        <v>93.45</v>
      </c>
      <c r="D11" s="161">
        <v>2115.4299999999998</v>
      </c>
      <c r="E11" s="96">
        <f t="shared" si="0"/>
        <v>4.4175415872895821E-2</v>
      </c>
      <c r="H11" s="149"/>
      <c r="I11" s="126"/>
      <c r="J11" s="129"/>
    </row>
    <row r="12" spans="1:10" ht="17.25" customHeight="1">
      <c r="A12" s="43">
        <v>10</v>
      </c>
      <c r="B12" s="3" t="s">
        <v>104</v>
      </c>
      <c r="C12" s="145">
        <v>84.66</v>
      </c>
      <c r="D12" s="161">
        <v>2115.4299999999998</v>
      </c>
      <c r="E12" s="96">
        <f t="shared" si="0"/>
        <v>4.0020232293198073E-2</v>
      </c>
      <c r="H12" s="149"/>
      <c r="I12" s="126"/>
      <c r="J12" s="129"/>
    </row>
    <row r="13" spans="1:10" ht="15.75">
      <c r="A13" s="43">
        <v>11</v>
      </c>
      <c r="B13" s="3" t="s">
        <v>10</v>
      </c>
      <c r="C13" s="145">
        <v>80.099999999999994</v>
      </c>
      <c r="D13" s="161">
        <v>2115.4299999999998</v>
      </c>
      <c r="E13" s="96">
        <f t="shared" si="0"/>
        <v>3.7864642176767847E-2</v>
      </c>
      <c r="H13" s="149"/>
      <c r="I13" s="126"/>
      <c r="J13" s="129"/>
    </row>
    <row r="14" spans="1:10" ht="15.75">
      <c r="A14" s="43">
        <v>12</v>
      </c>
      <c r="B14" s="3" t="s">
        <v>11</v>
      </c>
      <c r="C14" s="145">
        <v>75.099999999999994</v>
      </c>
      <c r="D14" s="161">
        <v>2115.4299999999998</v>
      </c>
      <c r="E14" s="96">
        <f t="shared" si="0"/>
        <v>3.550105652278733E-2</v>
      </c>
      <c r="H14" s="149"/>
      <c r="I14" s="126"/>
      <c r="J14" s="129"/>
    </row>
    <row r="15" spans="1:10" ht="15" customHeight="1">
      <c r="A15" s="43">
        <v>13</v>
      </c>
      <c r="B15" s="3" t="s">
        <v>6</v>
      </c>
      <c r="C15" s="145">
        <v>72.86</v>
      </c>
      <c r="D15" s="161">
        <v>2115.4299999999998</v>
      </c>
      <c r="E15" s="96">
        <f t="shared" si="0"/>
        <v>3.4442170149804059E-2</v>
      </c>
      <c r="H15" s="149"/>
      <c r="I15" s="126"/>
      <c r="J15" s="129"/>
    </row>
    <row r="16" spans="1:10" ht="14.25" customHeight="1">
      <c r="A16" s="43">
        <v>14</v>
      </c>
      <c r="B16" s="3" t="s">
        <v>9</v>
      </c>
      <c r="C16" s="145">
        <v>60.33</v>
      </c>
      <c r="D16" s="161">
        <v>2115.4299999999998</v>
      </c>
      <c r="E16" s="96">
        <f t="shared" si="0"/>
        <v>2.8519024500928889E-2</v>
      </c>
      <c r="H16" s="149"/>
      <c r="I16" s="126"/>
      <c r="J16" s="129"/>
    </row>
    <row r="17" spans="1:10" ht="13.5" customHeight="1">
      <c r="A17" s="43">
        <v>15</v>
      </c>
      <c r="B17" s="3" t="s">
        <v>27</v>
      </c>
      <c r="C17" s="145">
        <v>55.47</v>
      </c>
      <c r="D17" s="161">
        <v>2115.4299999999998</v>
      </c>
      <c r="E17" s="96">
        <f t="shared" si="0"/>
        <v>2.6221619245259831E-2</v>
      </c>
      <c r="H17" s="149"/>
      <c r="I17" s="126"/>
      <c r="J17" s="129"/>
    </row>
    <row r="18" spans="1:10" ht="15.75">
      <c r="A18" s="43">
        <v>16</v>
      </c>
      <c r="B18" s="3" t="s">
        <v>22</v>
      </c>
      <c r="C18" s="145">
        <v>51.5</v>
      </c>
      <c r="D18" s="161">
        <v>2115.4299999999998</v>
      </c>
      <c r="E18" s="96">
        <f t="shared" si="0"/>
        <v>2.4344932235999303E-2</v>
      </c>
      <c r="H18" s="149"/>
      <c r="I18" s="126"/>
      <c r="J18" s="129"/>
    </row>
    <row r="19" spans="1:10" ht="15.75">
      <c r="A19" s="43">
        <v>17</v>
      </c>
      <c r="B19" s="3" t="s">
        <v>17</v>
      </c>
      <c r="C19" s="145">
        <v>48.42</v>
      </c>
      <c r="D19" s="161">
        <v>2115.4299999999998</v>
      </c>
      <c r="E19" s="96">
        <f t="shared" si="0"/>
        <v>2.2888963473147304E-2</v>
      </c>
      <c r="H19" s="149"/>
      <c r="I19" s="126"/>
      <c r="J19" s="129"/>
    </row>
    <row r="20" spans="1:10" ht="15.75">
      <c r="A20" s="43">
        <v>18</v>
      </c>
      <c r="B20" s="3" t="s">
        <v>28</v>
      </c>
      <c r="C20" s="145">
        <v>45.42</v>
      </c>
      <c r="D20" s="161">
        <v>2115.4299999999998</v>
      </c>
      <c r="E20" s="96">
        <f t="shared" si="0"/>
        <v>2.1470812080758996E-2</v>
      </c>
      <c r="H20" s="149"/>
      <c r="I20" s="126"/>
      <c r="J20" s="129"/>
    </row>
    <row r="21" spans="1:10" ht="16.5" customHeight="1">
      <c r="A21" s="43">
        <v>19</v>
      </c>
      <c r="B21" s="3" t="s">
        <v>21</v>
      </c>
      <c r="C21" s="145">
        <v>39.479999999999997</v>
      </c>
      <c r="D21" s="161">
        <v>2115.4299999999998</v>
      </c>
      <c r="E21" s="96">
        <f t="shared" si="0"/>
        <v>1.8662872323830144E-2</v>
      </c>
      <c r="H21" s="149"/>
      <c r="I21" s="126"/>
      <c r="J21" s="129"/>
    </row>
    <row r="22" spans="1:10" ht="15.75" customHeight="1">
      <c r="A22" s="43">
        <v>20</v>
      </c>
      <c r="B22" s="3" t="s">
        <v>12</v>
      </c>
      <c r="C22" s="145">
        <v>37.01</v>
      </c>
      <c r="D22" s="161">
        <v>2115.4299999999998</v>
      </c>
      <c r="E22" s="96">
        <f t="shared" si="0"/>
        <v>1.749526101076377E-2</v>
      </c>
      <c r="H22" s="149"/>
      <c r="I22" s="126"/>
      <c r="J22" s="129"/>
    </row>
    <row r="23" spans="1:10" ht="18" customHeight="1">
      <c r="A23" s="43">
        <v>21</v>
      </c>
      <c r="B23" s="3" t="s">
        <v>23</v>
      </c>
      <c r="C23" s="145">
        <v>30.08</v>
      </c>
      <c r="D23" s="161">
        <v>2115.4299999999998</v>
      </c>
      <c r="E23" s="96">
        <f t="shared" si="0"/>
        <v>1.4219331294346776E-2</v>
      </c>
      <c r="H23" s="149"/>
      <c r="I23" s="126"/>
      <c r="J23" s="129"/>
    </row>
    <row r="24" spans="1:10" ht="15.75">
      <c r="A24" s="43">
        <v>22</v>
      </c>
      <c r="B24" s="3" t="s">
        <v>29</v>
      </c>
      <c r="C24" s="145">
        <v>25.5</v>
      </c>
      <c r="D24" s="161">
        <v>2115.4299999999998</v>
      </c>
      <c r="E24" s="96">
        <f t="shared" si="0"/>
        <v>1.2054286835300625E-2</v>
      </c>
      <c r="H24" s="149"/>
      <c r="I24" s="126"/>
      <c r="J24" s="129"/>
    </row>
    <row r="25" spans="1:10" ht="15.75">
      <c r="A25" s="43">
        <v>23</v>
      </c>
      <c r="B25" s="3" t="s">
        <v>7</v>
      </c>
      <c r="C25" s="145">
        <v>24.2</v>
      </c>
      <c r="D25" s="161">
        <v>2115.4299999999998</v>
      </c>
      <c r="E25" s="96">
        <f t="shared" si="0"/>
        <v>1.1439754565265692E-2</v>
      </c>
      <c r="H25" s="149"/>
      <c r="I25" s="126"/>
      <c r="J25" s="129"/>
    </row>
    <row r="26" spans="1:10" ht="17.25" customHeight="1">
      <c r="A26" s="43">
        <v>24</v>
      </c>
      <c r="B26" s="3" t="s">
        <v>30</v>
      </c>
      <c r="C26" s="145">
        <v>21.97</v>
      </c>
      <c r="D26" s="161">
        <v>2115.4299999999998</v>
      </c>
      <c r="E26" s="96">
        <f t="shared" si="0"/>
        <v>1.0385595363590381E-2</v>
      </c>
      <c r="H26" s="149"/>
      <c r="I26" s="126"/>
      <c r="J26" s="129"/>
    </row>
    <row r="27" spans="1:10" ht="15.75">
      <c r="A27" s="43">
        <v>25</v>
      </c>
      <c r="B27" s="3" t="s">
        <v>5</v>
      </c>
      <c r="C27" s="143">
        <v>13.83</v>
      </c>
      <c r="D27" s="161">
        <v>2115.4299999999998</v>
      </c>
      <c r="E27" s="96">
        <f t="shared" si="0"/>
        <v>6.5376779189101038E-3</v>
      </c>
      <c r="H27" s="149"/>
      <c r="I27" s="126"/>
      <c r="J27" s="129"/>
    </row>
    <row r="28" spans="1:10" ht="15.75">
      <c r="A28" s="43">
        <v>26</v>
      </c>
      <c r="B28" s="3" t="s">
        <v>24</v>
      </c>
      <c r="C28" s="145">
        <v>13.33</v>
      </c>
      <c r="D28" s="161">
        <v>2115.4299999999998</v>
      </c>
      <c r="E28" s="96">
        <f t="shared" si="0"/>
        <v>6.3013193535120526E-3</v>
      </c>
      <c r="H28" s="149"/>
      <c r="I28" s="126"/>
      <c r="J28" s="129"/>
    </row>
    <row r="29" spans="1:10" ht="15.75">
      <c r="A29" s="43">
        <v>27</v>
      </c>
      <c r="B29" s="3" t="s">
        <v>15</v>
      </c>
      <c r="C29" s="145">
        <v>12.31</v>
      </c>
      <c r="D29" s="161">
        <v>2115.4299999999998</v>
      </c>
      <c r="E29" s="96">
        <f t="shared" si="0"/>
        <v>5.8191478801000278E-3</v>
      </c>
      <c r="H29" s="149"/>
      <c r="I29" s="126"/>
      <c r="J29" s="129"/>
    </row>
    <row r="30" spans="1:10" ht="18" customHeight="1">
      <c r="A30" s="43">
        <v>28</v>
      </c>
      <c r="B30" s="3" t="s">
        <v>20</v>
      </c>
      <c r="C30" s="145">
        <v>12.07</v>
      </c>
      <c r="D30" s="161">
        <v>2115.4299999999998</v>
      </c>
      <c r="E30" s="96">
        <f t="shared" si="0"/>
        <v>5.705695768708963E-3</v>
      </c>
      <c r="H30" s="149"/>
      <c r="I30" s="126"/>
      <c r="J30" s="129"/>
    </row>
    <row r="31" spans="1:10" ht="15.75">
      <c r="A31" s="43">
        <v>29</v>
      </c>
      <c r="B31" s="3" t="s">
        <v>31</v>
      </c>
      <c r="C31" s="145">
        <v>5.31</v>
      </c>
      <c r="D31" s="161">
        <v>2115.4299999999998</v>
      </c>
      <c r="E31" s="96">
        <f t="shared" si="0"/>
        <v>2.5101279645273066E-3</v>
      </c>
      <c r="H31" s="149"/>
      <c r="I31" s="126"/>
      <c r="J31" s="129"/>
    </row>
    <row r="32" spans="1:10" ht="15.75">
      <c r="A32" s="43">
        <v>30</v>
      </c>
      <c r="B32" s="3" t="s">
        <v>16</v>
      </c>
      <c r="C32" s="145">
        <v>32.21</v>
      </c>
      <c r="D32" s="161">
        <v>2115.4299999999998</v>
      </c>
      <c r="E32" s="96">
        <f t="shared" si="0"/>
        <v>1.5226218782942476E-2</v>
      </c>
      <c r="H32" s="150"/>
      <c r="I32" s="126"/>
      <c r="J32" s="129"/>
    </row>
    <row r="33" spans="1:10" ht="15.75">
      <c r="A33" s="43">
        <v>31</v>
      </c>
      <c r="B33" s="3" t="s">
        <v>32</v>
      </c>
      <c r="C33" s="150">
        <v>0</v>
      </c>
      <c r="D33" s="161">
        <v>2115.4299999999998</v>
      </c>
      <c r="E33" s="96">
        <f t="shared" si="0"/>
        <v>0</v>
      </c>
      <c r="H33" s="149"/>
      <c r="I33" s="126"/>
      <c r="J33" s="129"/>
    </row>
    <row r="34" spans="1:10" ht="15.75">
      <c r="A34" s="20"/>
      <c r="B34" s="19" t="s">
        <v>49</v>
      </c>
      <c r="C34" s="147">
        <f>SUM(C3:C33)</f>
        <v>2115.4299999999998</v>
      </c>
      <c r="D34" s="132"/>
      <c r="E34" s="13"/>
      <c r="H34" s="126"/>
      <c r="I34" s="129"/>
      <c r="J34" s="129"/>
    </row>
    <row r="35" spans="1:10" ht="40.5">
      <c r="A35" s="34"/>
      <c r="B35" s="71" t="s">
        <v>68</v>
      </c>
      <c r="C35" s="44"/>
      <c r="D35" s="44"/>
      <c r="E35" s="44"/>
      <c r="H35" s="129"/>
      <c r="I35" s="129"/>
      <c r="J35" s="129"/>
    </row>
    <row r="36" spans="1:10" ht="85.5" customHeight="1">
      <c r="A36" s="43" t="s">
        <v>126</v>
      </c>
      <c r="B36" s="55" t="s">
        <v>41</v>
      </c>
      <c r="C36" s="55" t="s">
        <v>66</v>
      </c>
      <c r="D36" s="55" t="s">
        <v>166</v>
      </c>
      <c r="E36" s="55" t="s">
        <v>121</v>
      </c>
      <c r="H36" s="129"/>
      <c r="I36" s="129"/>
      <c r="J36" s="129"/>
    </row>
    <row r="37" spans="1:10" ht="21.75" customHeight="1">
      <c r="A37" s="43">
        <v>1</v>
      </c>
      <c r="B37" s="3" t="s">
        <v>33</v>
      </c>
      <c r="C37" s="145">
        <v>806.67</v>
      </c>
      <c r="D37" s="135">
        <v>1885.07</v>
      </c>
      <c r="E37" s="132">
        <f>C37/D37</f>
        <v>0.42792575342029737</v>
      </c>
      <c r="H37" s="149"/>
      <c r="I37" s="129"/>
      <c r="J37" s="129"/>
    </row>
    <row r="38" spans="1:10" ht="15.75">
      <c r="A38" s="43">
        <v>2</v>
      </c>
      <c r="B38" s="3" t="s">
        <v>34</v>
      </c>
      <c r="C38" s="145">
        <v>462.2</v>
      </c>
      <c r="D38" s="135">
        <v>1885.07</v>
      </c>
      <c r="E38" s="132">
        <f>C38/D38</f>
        <v>0.24518983379927536</v>
      </c>
      <c r="H38" s="149"/>
      <c r="I38" s="129"/>
      <c r="J38" s="129"/>
    </row>
    <row r="39" spans="1:10" ht="18" customHeight="1">
      <c r="A39" s="43">
        <v>3</v>
      </c>
      <c r="B39" s="3" t="s">
        <v>36</v>
      </c>
      <c r="C39" s="145">
        <v>421</v>
      </c>
      <c r="D39" s="135">
        <v>1885.07</v>
      </c>
      <c r="E39" s="132">
        <f>C39/D39</f>
        <v>0.22333388150042174</v>
      </c>
      <c r="H39" s="149"/>
      <c r="I39" s="129"/>
      <c r="J39" s="129"/>
    </row>
    <row r="40" spans="1:10" ht="18.75" customHeight="1">
      <c r="A40" s="43">
        <v>4</v>
      </c>
      <c r="B40" s="3" t="s">
        <v>35</v>
      </c>
      <c r="C40" s="146">
        <v>195.2</v>
      </c>
      <c r="D40" s="135">
        <v>1885.07</v>
      </c>
      <c r="E40" s="132">
        <f>C40/D40</f>
        <v>0.10355053128000552</v>
      </c>
      <c r="H40" s="149"/>
      <c r="I40" s="129"/>
      <c r="J40" s="129"/>
    </row>
    <row r="41" spans="1:10" ht="15.75">
      <c r="A41" s="20"/>
      <c r="B41" s="19" t="s">
        <v>49</v>
      </c>
      <c r="C41" s="144">
        <f>SUM(C37:C40)</f>
        <v>1885.07</v>
      </c>
      <c r="D41" s="27"/>
      <c r="E41" s="27"/>
      <c r="H41" s="129"/>
      <c r="I41" s="129"/>
      <c r="J41" s="129"/>
    </row>
    <row r="42" spans="1:10">
      <c r="B42" s="7"/>
      <c r="C42" s="7"/>
      <c r="D42" s="7"/>
      <c r="E42" s="7"/>
      <c r="H42" s="129"/>
      <c r="I42" s="129"/>
      <c r="J42" s="129"/>
    </row>
    <row r="43" spans="1:10" ht="15.75">
      <c r="B43" s="26"/>
      <c r="C43" s="7"/>
      <c r="D43" s="7"/>
      <c r="E43" s="7"/>
      <c r="H43" s="129"/>
      <c r="I43" s="129"/>
      <c r="J43" s="129"/>
    </row>
    <row r="44" spans="1:10">
      <c r="H44" s="129"/>
      <c r="I44" s="129"/>
      <c r="J44" s="129"/>
    </row>
  </sheetData>
  <sortState ref="B3:E33">
    <sortCondition descending="1" ref="E3:E33"/>
  </sortState>
  <phoneticPr fontId="5" type="noConversion"/>
  <pageMargins left="0.39" right="0.28000000000000003" top="0.3" bottom="0.26" header="0.19" footer="0.17"/>
  <pageSetup paperSize="9" scale="85" orientation="landscape" verticalDpi="200" r:id="rId1"/>
  <headerFooter alignWithMargins="0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workbookViewId="0">
      <selection activeCell="B1" sqref="B1"/>
    </sheetView>
  </sheetViews>
  <sheetFormatPr defaultRowHeight="12.75"/>
  <cols>
    <col min="1" max="1" width="7.42578125" customWidth="1"/>
    <col min="2" max="2" width="69.85546875" customWidth="1"/>
    <col min="3" max="3" width="16.140625" customWidth="1"/>
    <col min="4" max="4" width="16.28515625" customWidth="1"/>
    <col min="5" max="5" width="17.7109375" customWidth="1"/>
  </cols>
  <sheetData>
    <row r="1" spans="1:5" ht="40.5">
      <c r="B1" s="58" t="s">
        <v>112</v>
      </c>
      <c r="C1" s="7"/>
      <c r="D1" s="7"/>
      <c r="E1" s="7"/>
    </row>
    <row r="2" spans="1:5" ht="120.75" customHeight="1">
      <c r="A2" s="141" t="s">
        <v>92</v>
      </c>
      <c r="B2" s="55" t="s">
        <v>0</v>
      </c>
      <c r="C2" s="55" t="s">
        <v>145</v>
      </c>
      <c r="D2" s="55" t="s">
        <v>45</v>
      </c>
      <c r="E2" s="55" t="s">
        <v>133</v>
      </c>
    </row>
    <row r="3" spans="1:5" s="10" customFormat="1" ht="15.75">
      <c r="A3" s="46">
        <v>1</v>
      </c>
      <c r="B3" s="1" t="s">
        <v>11</v>
      </c>
      <c r="C3" s="35">
        <v>920.00693999999999</v>
      </c>
      <c r="D3" s="142">
        <v>5517.9215599999989</v>
      </c>
      <c r="E3" s="155">
        <f t="shared" ref="E3:E33" si="0">C3/D3</f>
        <v>0.16673070285544259</v>
      </c>
    </row>
    <row r="4" spans="1:5" s="10" customFormat="1" ht="15.75">
      <c r="A4" s="46">
        <v>2</v>
      </c>
      <c r="B4" s="1" t="s">
        <v>13</v>
      </c>
      <c r="C4" s="35">
        <v>794.97590000000002</v>
      </c>
      <c r="D4" s="142">
        <v>5517.9215599999989</v>
      </c>
      <c r="E4" s="155">
        <f t="shared" si="0"/>
        <v>0.14407162032944887</v>
      </c>
    </row>
    <row r="5" spans="1:5" s="10" customFormat="1" ht="15.75">
      <c r="A5" s="46">
        <v>3</v>
      </c>
      <c r="B5" s="1" t="s">
        <v>5</v>
      </c>
      <c r="C5" s="35">
        <v>732.30451999999957</v>
      </c>
      <c r="D5" s="142">
        <v>5517.9215599999989</v>
      </c>
      <c r="E5" s="155">
        <f t="shared" si="0"/>
        <v>0.13271383292371408</v>
      </c>
    </row>
    <row r="6" spans="1:5" s="10" customFormat="1" ht="15.75">
      <c r="A6" s="46">
        <v>4</v>
      </c>
      <c r="B6" s="1" t="s">
        <v>17</v>
      </c>
      <c r="C6" s="35">
        <v>627.27800000000002</v>
      </c>
      <c r="D6" s="142">
        <v>5517.9215599999989</v>
      </c>
      <c r="E6" s="155">
        <f t="shared" si="0"/>
        <v>0.113680122701853</v>
      </c>
    </row>
    <row r="7" spans="1:5" s="10" customFormat="1" ht="15.75">
      <c r="A7" s="46">
        <v>5</v>
      </c>
      <c r="B7" s="1" t="s">
        <v>25</v>
      </c>
      <c r="C7" s="35">
        <v>473.22500000000002</v>
      </c>
      <c r="D7" s="142">
        <v>5517.9215599999989</v>
      </c>
      <c r="E7" s="155">
        <f t="shared" si="0"/>
        <v>8.5761458341571659E-2</v>
      </c>
    </row>
    <row r="8" spans="1:5" s="10" customFormat="1" ht="15.75">
      <c r="A8" s="46">
        <v>6</v>
      </c>
      <c r="B8" s="1" t="s">
        <v>4</v>
      </c>
      <c r="C8" s="35">
        <v>335.8</v>
      </c>
      <c r="D8" s="142">
        <v>5517.9215599999989</v>
      </c>
      <c r="E8" s="155">
        <f t="shared" si="0"/>
        <v>6.0856247474456684E-2</v>
      </c>
    </row>
    <row r="9" spans="1:5" s="10" customFormat="1" ht="15.75">
      <c r="A9" s="46">
        <v>7</v>
      </c>
      <c r="B9" s="1" t="s">
        <v>20</v>
      </c>
      <c r="C9" s="35">
        <v>229.45405000000002</v>
      </c>
      <c r="D9" s="142">
        <v>5517.9215599999989</v>
      </c>
      <c r="E9" s="155">
        <f t="shared" si="0"/>
        <v>4.158342004412257E-2</v>
      </c>
    </row>
    <row r="10" spans="1:5" s="10" customFormat="1" ht="15.75">
      <c r="A10" s="46">
        <v>8</v>
      </c>
      <c r="B10" s="1" t="s">
        <v>8</v>
      </c>
      <c r="C10" s="35">
        <v>229.23457999999999</v>
      </c>
      <c r="D10" s="142">
        <v>5517.9215599999989</v>
      </c>
      <c r="E10" s="155">
        <f t="shared" si="0"/>
        <v>4.1543646010074861E-2</v>
      </c>
    </row>
    <row r="11" spans="1:5" s="10" customFormat="1" ht="15.75">
      <c r="A11" s="46">
        <v>9</v>
      </c>
      <c r="B11" s="1" t="s">
        <v>122</v>
      </c>
      <c r="C11" s="35">
        <v>189.18276</v>
      </c>
      <c r="D11" s="142">
        <v>5517.9215599999989</v>
      </c>
      <c r="E11" s="155">
        <f t="shared" si="0"/>
        <v>3.4285148482610911E-2</v>
      </c>
    </row>
    <row r="12" spans="1:5" s="10" customFormat="1" ht="15.75">
      <c r="A12" s="46">
        <v>10</v>
      </c>
      <c r="B12" s="1" t="s">
        <v>26</v>
      </c>
      <c r="C12" s="35">
        <v>164.17828000000009</v>
      </c>
      <c r="D12" s="142">
        <v>5517.9215599999989</v>
      </c>
      <c r="E12" s="155">
        <f t="shared" si="0"/>
        <v>2.9753645138804786E-2</v>
      </c>
    </row>
    <row r="13" spans="1:5" s="10" customFormat="1" ht="15.75">
      <c r="A13" s="46">
        <v>11</v>
      </c>
      <c r="B13" s="1" t="s">
        <v>14</v>
      </c>
      <c r="C13" s="35">
        <v>124.87660000000001</v>
      </c>
      <c r="D13" s="142">
        <v>5517.9215599999989</v>
      </c>
      <c r="E13" s="155">
        <f t="shared" si="0"/>
        <v>2.2631093726529893E-2</v>
      </c>
    </row>
    <row r="14" spans="1:5" s="10" customFormat="1" ht="15.75">
      <c r="A14" s="46">
        <v>12</v>
      </c>
      <c r="B14" s="1" t="s">
        <v>10</v>
      </c>
      <c r="C14" s="35">
        <v>88.758420000000001</v>
      </c>
      <c r="D14" s="142">
        <v>5517.9215599999989</v>
      </c>
      <c r="E14" s="155">
        <f t="shared" si="0"/>
        <v>1.6085480562721161E-2</v>
      </c>
    </row>
    <row r="15" spans="1:5" s="10" customFormat="1" ht="15.75">
      <c r="A15" s="46">
        <v>13</v>
      </c>
      <c r="B15" s="1" t="s">
        <v>15</v>
      </c>
      <c r="C15" s="35">
        <v>84.999859999999998</v>
      </c>
      <c r="D15" s="142">
        <v>5517.9215599999989</v>
      </c>
      <c r="E15" s="155">
        <f t="shared" si="0"/>
        <v>1.5404325537385858E-2</v>
      </c>
    </row>
    <row r="16" spans="1:5" s="10" customFormat="1" ht="15.75">
      <c r="A16" s="46">
        <v>14</v>
      </c>
      <c r="B16" s="1" t="s">
        <v>31</v>
      </c>
      <c r="C16" s="35">
        <v>84.480999999999995</v>
      </c>
      <c r="D16" s="142">
        <v>5517.9215599999989</v>
      </c>
      <c r="E16" s="155">
        <f t="shared" si="0"/>
        <v>1.5310293754882593E-2</v>
      </c>
    </row>
    <row r="17" spans="1:5" s="10" customFormat="1" ht="15.75">
      <c r="A17" s="46">
        <v>15</v>
      </c>
      <c r="B17" s="1" t="s">
        <v>24</v>
      </c>
      <c r="C17" s="35">
        <v>81.250579999999999</v>
      </c>
      <c r="D17" s="142">
        <v>5517.9215599999989</v>
      </c>
      <c r="E17" s="155">
        <f t="shared" si="0"/>
        <v>1.4724852304714533E-2</v>
      </c>
    </row>
    <row r="18" spans="1:5" s="10" customFormat="1" ht="15.75">
      <c r="A18" s="46">
        <v>16</v>
      </c>
      <c r="B18" s="1" t="s">
        <v>6</v>
      </c>
      <c r="C18" s="35">
        <v>77.575600000000009</v>
      </c>
      <c r="D18" s="142">
        <v>5517.9215599999989</v>
      </c>
      <c r="E18" s="155">
        <f t="shared" si="0"/>
        <v>1.4058844287014479E-2</v>
      </c>
    </row>
    <row r="19" spans="1:5" s="10" customFormat="1" ht="15.75">
      <c r="A19" s="46">
        <v>17</v>
      </c>
      <c r="B19" s="1" t="s">
        <v>27</v>
      </c>
      <c r="C19" s="35">
        <v>70.050560000000004</v>
      </c>
      <c r="D19" s="142">
        <v>5517.9215599999989</v>
      </c>
      <c r="E19" s="155">
        <f t="shared" si="0"/>
        <v>1.2695098913294451E-2</v>
      </c>
    </row>
    <row r="20" spans="1:5" s="10" customFormat="1" ht="15.75">
      <c r="A20" s="46">
        <v>18</v>
      </c>
      <c r="B20" s="1" t="s">
        <v>29</v>
      </c>
      <c r="C20" s="35">
        <v>68.245580000000004</v>
      </c>
      <c r="D20" s="142">
        <v>5517.9215599999989</v>
      </c>
      <c r="E20" s="155">
        <f t="shared" si="0"/>
        <v>1.236798661559807E-2</v>
      </c>
    </row>
    <row r="21" spans="1:5" s="10" customFormat="1" ht="15.75">
      <c r="A21" s="46">
        <v>19</v>
      </c>
      <c r="B21" s="1" t="s">
        <v>7</v>
      </c>
      <c r="C21" s="35">
        <v>64.857560000000007</v>
      </c>
      <c r="D21" s="142">
        <v>5517.9215599999989</v>
      </c>
      <c r="E21" s="155">
        <f t="shared" si="0"/>
        <v>1.1753983686567668E-2</v>
      </c>
    </row>
    <row r="22" spans="1:5" s="10" customFormat="1" ht="15.75">
      <c r="A22" s="46">
        <v>20</v>
      </c>
      <c r="B22" s="1" t="s">
        <v>21</v>
      </c>
      <c r="C22" s="35">
        <v>42.204000000000001</v>
      </c>
      <c r="D22" s="142">
        <v>5517.9215599999989</v>
      </c>
      <c r="E22" s="155">
        <f t="shared" si="0"/>
        <v>7.6485320679332038E-3</v>
      </c>
    </row>
    <row r="23" spans="1:5" s="10" customFormat="1" ht="15.75">
      <c r="A23" s="46">
        <v>21</v>
      </c>
      <c r="B23" s="1" t="s">
        <v>19</v>
      </c>
      <c r="C23" s="35">
        <v>29.981770000000001</v>
      </c>
      <c r="D23" s="142">
        <v>5517.9215599999989</v>
      </c>
      <c r="E23" s="155">
        <f t="shared" si="0"/>
        <v>5.4335259524783833E-3</v>
      </c>
    </row>
    <row r="24" spans="1:5" s="10" customFormat="1" ht="15.75">
      <c r="A24" s="46">
        <v>22</v>
      </c>
      <c r="B24" s="1" t="s">
        <v>30</v>
      </c>
      <c r="C24" s="35">
        <v>5</v>
      </c>
      <c r="D24" s="142">
        <v>5517.9215599999989</v>
      </c>
      <c r="E24" s="155">
        <f t="shared" si="0"/>
        <v>9.0613828877987915E-4</v>
      </c>
    </row>
    <row r="25" spans="1:5" s="10" customFormat="1" ht="15.75">
      <c r="A25" s="46">
        <v>23</v>
      </c>
      <c r="B25" s="1" t="s">
        <v>9</v>
      </c>
      <c r="C25" s="35">
        <v>0</v>
      </c>
      <c r="D25" s="142">
        <v>5517.9215599999989</v>
      </c>
      <c r="E25" s="155">
        <f t="shared" si="0"/>
        <v>0</v>
      </c>
    </row>
    <row r="26" spans="1:5" s="10" customFormat="1" ht="15.75">
      <c r="A26" s="46">
        <v>24</v>
      </c>
      <c r="B26" s="1" t="s">
        <v>23</v>
      </c>
      <c r="C26" s="35">
        <v>0</v>
      </c>
      <c r="D26" s="142">
        <v>5517.9215599999989</v>
      </c>
      <c r="E26" s="155">
        <f t="shared" si="0"/>
        <v>0</v>
      </c>
    </row>
    <row r="27" spans="1:5" s="10" customFormat="1" ht="15.75">
      <c r="A27" s="46">
        <v>25</v>
      </c>
      <c r="B27" s="1" t="s">
        <v>28</v>
      </c>
      <c r="C27" s="35">
        <v>0</v>
      </c>
      <c r="D27" s="142">
        <v>5517.9215599999989</v>
      </c>
      <c r="E27" s="155">
        <f t="shared" si="0"/>
        <v>0</v>
      </c>
    </row>
    <row r="28" spans="1:5" s="10" customFormat="1" ht="15.75">
      <c r="A28" s="46">
        <v>26</v>
      </c>
      <c r="B28" s="1" t="s">
        <v>103</v>
      </c>
      <c r="C28" s="35">
        <v>0</v>
      </c>
      <c r="D28" s="142">
        <v>5517.9215599999989</v>
      </c>
      <c r="E28" s="155">
        <f t="shared" si="0"/>
        <v>0</v>
      </c>
    </row>
    <row r="29" spans="1:5" s="10" customFormat="1" ht="15.75">
      <c r="A29" s="46">
        <v>27</v>
      </c>
      <c r="B29" s="1" t="s">
        <v>22</v>
      </c>
      <c r="C29" s="35">
        <v>0</v>
      </c>
      <c r="D29" s="142">
        <v>5517.9215599999989</v>
      </c>
      <c r="E29" s="155">
        <f t="shared" si="0"/>
        <v>0</v>
      </c>
    </row>
    <row r="30" spans="1:5" s="10" customFormat="1" ht="15.75">
      <c r="A30" s="46">
        <v>28</v>
      </c>
      <c r="B30" s="1" t="s">
        <v>18</v>
      </c>
      <c r="C30" s="35">
        <v>0</v>
      </c>
      <c r="D30" s="142">
        <v>5517.9215599999989</v>
      </c>
      <c r="E30" s="155">
        <f t="shared" si="0"/>
        <v>0</v>
      </c>
    </row>
    <row r="31" spans="1:5" s="10" customFormat="1" ht="15.75">
      <c r="A31" s="46">
        <v>29</v>
      </c>
      <c r="B31" s="1" t="s">
        <v>16</v>
      </c>
      <c r="C31" s="35">
        <v>0</v>
      </c>
      <c r="D31" s="142">
        <v>5517.9215599999989</v>
      </c>
      <c r="E31" s="155">
        <f t="shared" si="0"/>
        <v>0</v>
      </c>
    </row>
    <row r="32" spans="1:5" s="10" customFormat="1" ht="15.75">
      <c r="A32" s="46">
        <v>30</v>
      </c>
      <c r="B32" s="1" t="s">
        <v>32</v>
      </c>
      <c r="C32" s="35">
        <v>0</v>
      </c>
      <c r="D32" s="142">
        <v>5517.9215599999989</v>
      </c>
      <c r="E32" s="155">
        <f t="shared" si="0"/>
        <v>0</v>
      </c>
    </row>
    <row r="33" spans="1:5" s="10" customFormat="1" ht="15.75">
      <c r="A33" s="46">
        <v>31</v>
      </c>
      <c r="B33" s="1" t="s">
        <v>12</v>
      </c>
      <c r="C33" s="35">
        <v>0</v>
      </c>
      <c r="D33" s="142">
        <v>5517.9215599999989</v>
      </c>
      <c r="E33" s="155">
        <f t="shared" si="0"/>
        <v>0</v>
      </c>
    </row>
    <row r="34" spans="1:5" ht="15.75">
      <c r="B34" s="45" t="s">
        <v>46</v>
      </c>
      <c r="C34" s="156">
        <f>SUM(C3:C33)</f>
        <v>5517.9215599999989</v>
      </c>
      <c r="D34" s="16"/>
      <c r="E34" s="15"/>
    </row>
    <row r="35" spans="1:5" ht="37.5" customHeight="1">
      <c r="A35" s="37"/>
      <c r="B35" s="70" t="s">
        <v>111</v>
      </c>
      <c r="C35" s="42"/>
      <c r="D35" s="42"/>
      <c r="E35" s="42"/>
    </row>
    <row r="36" spans="1:5" ht="117" customHeight="1">
      <c r="A36" s="43" t="s">
        <v>92</v>
      </c>
      <c r="B36" s="55" t="s">
        <v>41</v>
      </c>
      <c r="C36" s="55" t="s">
        <v>144</v>
      </c>
      <c r="D36" s="55" t="s">
        <v>45</v>
      </c>
      <c r="E36" s="55" t="s">
        <v>111</v>
      </c>
    </row>
    <row r="37" spans="1:5" ht="30.75" customHeight="1">
      <c r="A37" s="43">
        <v>1</v>
      </c>
      <c r="B37" s="3" t="s">
        <v>36</v>
      </c>
      <c r="C37" s="23">
        <v>2050.4917099999998</v>
      </c>
      <c r="D37" s="142">
        <v>5517.9215599999989</v>
      </c>
      <c r="E37" s="13">
        <f>C37/D37</f>
        <v>0.37160580985134561</v>
      </c>
    </row>
    <row r="38" spans="1:5" ht="17.25" customHeight="1">
      <c r="A38" s="46">
        <v>2</v>
      </c>
      <c r="B38" s="3" t="s">
        <v>34</v>
      </c>
      <c r="C38" s="23">
        <v>1471.5924500000001</v>
      </c>
      <c r="D38" s="142">
        <v>5517.9215599999989</v>
      </c>
      <c r="E38" s="13">
        <f>C38/D38</f>
        <v>0.266693252884878</v>
      </c>
    </row>
    <row r="39" spans="1:5" ht="21.75" customHeight="1">
      <c r="A39" s="43">
        <v>3</v>
      </c>
      <c r="B39" s="3" t="s">
        <v>35</v>
      </c>
      <c r="C39" s="23">
        <v>1194.4182399999995</v>
      </c>
      <c r="D39" s="142">
        <v>5517.9215599999989</v>
      </c>
      <c r="E39" s="13">
        <f>C39/D39</f>
        <v>0.21646162001621491</v>
      </c>
    </row>
    <row r="40" spans="1:5" ht="15" customHeight="1">
      <c r="A40" s="43">
        <v>4</v>
      </c>
      <c r="B40" s="3" t="s">
        <v>33</v>
      </c>
      <c r="C40" s="23">
        <v>801.41915999999992</v>
      </c>
      <c r="D40" s="142">
        <v>5517.9215599999989</v>
      </c>
      <c r="E40" s="13">
        <f>C40/D40</f>
        <v>0.14523931724756162</v>
      </c>
    </row>
    <row r="41" spans="1:5" ht="15.75">
      <c r="A41" s="20"/>
      <c r="B41" s="9" t="s">
        <v>46</v>
      </c>
      <c r="C41" s="16">
        <f>SUM(C37:C40)</f>
        <v>5517.9215599999989</v>
      </c>
      <c r="D41" s="21"/>
      <c r="E41" s="21"/>
    </row>
    <row r="42" spans="1:5">
      <c r="B42" s="7"/>
      <c r="C42" s="7"/>
      <c r="D42" s="7"/>
      <c r="E42" s="7"/>
    </row>
    <row r="43" spans="1:5" ht="15.75">
      <c r="B43" s="8"/>
      <c r="E43" s="14"/>
    </row>
  </sheetData>
  <sortState ref="B37:E40">
    <sortCondition descending="1" ref="E37:E40"/>
  </sortState>
  <phoneticPr fontId="5" type="noConversion"/>
  <pageMargins left="0.51181102362204722" right="0.19685039370078741" top="0.23622047244094491" bottom="0.35433070866141736" header="0.19685039370078741" footer="0.27559055118110237"/>
  <pageSetup paperSize="9" scale="85" orientation="landscape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8"/>
  <sheetViews>
    <sheetView zoomScale="80" zoomScaleNormal="80" workbookViewId="0">
      <selection activeCell="B36" sqref="B36"/>
    </sheetView>
  </sheetViews>
  <sheetFormatPr defaultRowHeight="12.75"/>
  <cols>
    <col min="1" max="1" width="6.7109375" customWidth="1"/>
    <col min="2" max="2" width="56.42578125" customWidth="1"/>
    <col min="3" max="3" width="19.42578125" customWidth="1"/>
    <col min="4" max="4" width="18" customWidth="1"/>
    <col min="5" max="5" width="17.140625" customWidth="1"/>
    <col min="6" max="7" width="14.28515625" customWidth="1"/>
    <col min="8" max="8" width="17" customWidth="1"/>
    <col min="9" max="9" width="15.7109375" customWidth="1"/>
  </cols>
  <sheetData>
    <row r="1" spans="1:9" ht="45" customHeight="1">
      <c r="B1" s="127" t="s">
        <v>113</v>
      </c>
      <c r="C1" s="127"/>
      <c r="D1" s="7"/>
    </row>
    <row r="2" spans="1:9" ht="148.5" customHeight="1">
      <c r="A2" s="43" t="s">
        <v>92</v>
      </c>
      <c r="B2" s="55" t="s">
        <v>0</v>
      </c>
      <c r="C2" s="55" t="s">
        <v>50</v>
      </c>
      <c r="D2" s="55" t="s">
        <v>52</v>
      </c>
      <c r="E2" s="55" t="s">
        <v>51</v>
      </c>
      <c r="F2" s="55" t="s">
        <v>53</v>
      </c>
      <c r="G2" s="55" t="s">
        <v>95</v>
      </c>
      <c r="H2" s="55" t="s">
        <v>96</v>
      </c>
      <c r="I2" s="55" t="s">
        <v>129</v>
      </c>
    </row>
    <row r="3" spans="1:9" ht="15.75">
      <c r="A3" s="43">
        <v>1</v>
      </c>
      <c r="B3" s="9" t="s">
        <v>6</v>
      </c>
      <c r="C3" s="75">
        <v>16</v>
      </c>
      <c r="D3" s="74">
        <v>37700</v>
      </c>
      <c r="E3" s="74">
        <v>3</v>
      </c>
      <c r="F3" s="74">
        <v>518</v>
      </c>
      <c r="G3" s="74">
        <v>1300</v>
      </c>
      <c r="H3" s="74">
        <v>5200</v>
      </c>
      <c r="I3" s="35">
        <f t="shared" ref="I3:I33" si="0">C3/D3+E3/F3+G3/H3</f>
        <v>0.25621590897452967</v>
      </c>
    </row>
    <row r="4" spans="1:9" s="10" customFormat="1" ht="15.75">
      <c r="A4" s="46">
        <v>2</v>
      </c>
      <c r="B4" s="9" t="s">
        <v>25</v>
      </c>
      <c r="C4" s="75">
        <v>46</v>
      </c>
      <c r="D4" s="74">
        <v>37700</v>
      </c>
      <c r="E4" s="74">
        <v>11</v>
      </c>
      <c r="F4" s="74">
        <v>518</v>
      </c>
      <c r="G4" s="85">
        <v>1000</v>
      </c>
      <c r="H4" s="74">
        <v>5200</v>
      </c>
      <c r="I4" s="35">
        <f t="shared" si="0"/>
        <v>0.21476337269440718</v>
      </c>
    </row>
    <row r="5" spans="1:9" s="10" customFormat="1" ht="15.75">
      <c r="A5" s="43">
        <v>3</v>
      </c>
      <c r="B5" s="9" t="s">
        <v>10</v>
      </c>
      <c r="C5" s="75">
        <v>24</v>
      </c>
      <c r="D5" s="74">
        <v>37700</v>
      </c>
      <c r="E5" s="74">
        <v>5</v>
      </c>
      <c r="F5" s="74">
        <v>518</v>
      </c>
      <c r="G5" s="85">
        <v>991</v>
      </c>
      <c r="H5" s="74">
        <v>5200</v>
      </c>
      <c r="I5" s="35">
        <f t="shared" si="0"/>
        <v>0.20086603750396856</v>
      </c>
    </row>
    <row r="6" spans="1:9" s="10" customFormat="1" ht="15.75">
      <c r="A6" s="46">
        <v>4</v>
      </c>
      <c r="B6" s="9" t="s">
        <v>29</v>
      </c>
      <c r="C6" s="75">
        <v>13</v>
      </c>
      <c r="D6" s="74">
        <v>37700</v>
      </c>
      <c r="E6" s="74">
        <v>3</v>
      </c>
      <c r="F6" s="74">
        <v>518</v>
      </c>
      <c r="G6" s="85">
        <v>992</v>
      </c>
      <c r="H6" s="74">
        <v>5200</v>
      </c>
      <c r="I6" s="35">
        <f t="shared" si="0"/>
        <v>0.19690556414694346</v>
      </c>
    </row>
    <row r="7" spans="1:9" s="10" customFormat="1" ht="15.75" customHeight="1">
      <c r="A7" s="43">
        <v>5</v>
      </c>
      <c r="B7" s="9" t="s">
        <v>13</v>
      </c>
      <c r="C7" s="75">
        <v>40</v>
      </c>
      <c r="D7" s="74">
        <v>37700</v>
      </c>
      <c r="E7" s="74">
        <v>6</v>
      </c>
      <c r="F7" s="74">
        <v>518</v>
      </c>
      <c r="G7" s="87">
        <v>711</v>
      </c>
      <c r="H7" s="74">
        <v>5200</v>
      </c>
      <c r="I7" s="35">
        <f t="shared" si="0"/>
        <v>0.1493747887713405</v>
      </c>
    </row>
    <row r="8" spans="1:9" s="10" customFormat="1" ht="15.75">
      <c r="A8" s="46">
        <v>6</v>
      </c>
      <c r="B8" s="9" t="s">
        <v>19</v>
      </c>
      <c r="C8" s="81">
        <v>31</v>
      </c>
      <c r="D8" s="74">
        <v>37700</v>
      </c>
      <c r="E8" s="81">
        <v>7</v>
      </c>
      <c r="F8" s="74">
        <v>518</v>
      </c>
      <c r="G8" s="93">
        <v>562</v>
      </c>
      <c r="H8" s="74">
        <v>5200</v>
      </c>
      <c r="I8" s="35">
        <f t="shared" si="0"/>
        <v>0.12241271775754534</v>
      </c>
    </row>
    <row r="9" spans="1:9" s="10" customFormat="1" ht="31.5">
      <c r="A9" s="43">
        <v>7</v>
      </c>
      <c r="B9" s="9" t="s">
        <v>5</v>
      </c>
      <c r="C9" s="75">
        <v>28</v>
      </c>
      <c r="D9" s="74">
        <v>37700</v>
      </c>
      <c r="E9" s="74">
        <v>6</v>
      </c>
      <c r="F9" s="74">
        <v>518</v>
      </c>
      <c r="G9" s="85">
        <v>522</v>
      </c>
      <c r="H9" s="74">
        <v>5200</v>
      </c>
      <c r="I9" s="35">
        <f t="shared" si="0"/>
        <v>0.11271033253791873</v>
      </c>
    </row>
    <row r="10" spans="1:9" s="10" customFormat="1" ht="18" customHeight="1">
      <c r="A10" s="46">
        <v>8</v>
      </c>
      <c r="B10" s="9" t="s">
        <v>22</v>
      </c>
      <c r="C10" s="75">
        <v>15</v>
      </c>
      <c r="D10" s="74">
        <v>37700</v>
      </c>
      <c r="E10" s="74">
        <v>4</v>
      </c>
      <c r="F10" s="74">
        <v>518</v>
      </c>
      <c r="G10" s="85">
        <v>530</v>
      </c>
      <c r="H10" s="74">
        <v>5200</v>
      </c>
      <c r="I10" s="35">
        <f t="shared" si="0"/>
        <v>0.11004296262916953</v>
      </c>
    </row>
    <row r="11" spans="1:9" s="10" customFormat="1" ht="31.5">
      <c r="A11" s="43">
        <v>9</v>
      </c>
      <c r="B11" s="9" t="s">
        <v>4</v>
      </c>
      <c r="C11" s="81">
        <v>18</v>
      </c>
      <c r="D11" s="74">
        <v>37700</v>
      </c>
      <c r="E11" s="81">
        <v>4</v>
      </c>
      <c r="F11" s="74">
        <v>518</v>
      </c>
      <c r="G11" s="93">
        <v>483</v>
      </c>
      <c r="H11" s="74">
        <v>5200</v>
      </c>
      <c r="I11" s="35">
        <f t="shared" si="0"/>
        <v>0.10108407668752496</v>
      </c>
    </row>
    <row r="12" spans="1:9" s="10" customFormat="1" ht="15.75">
      <c r="A12" s="46">
        <v>10</v>
      </c>
      <c r="B12" s="9" t="s">
        <v>103</v>
      </c>
      <c r="C12" s="75">
        <v>13</v>
      </c>
      <c r="D12" s="74">
        <v>37700</v>
      </c>
      <c r="E12" s="74">
        <v>4</v>
      </c>
      <c r="F12" s="74">
        <v>518</v>
      </c>
      <c r="G12" s="85">
        <v>459</v>
      </c>
      <c r="H12" s="74">
        <v>5200</v>
      </c>
      <c r="I12" s="35">
        <f t="shared" si="0"/>
        <v>9.6336066077445381E-2</v>
      </c>
    </row>
    <row r="13" spans="1:9" s="10" customFormat="1" ht="15.75">
      <c r="A13" s="43">
        <v>11</v>
      </c>
      <c r="B13" s="9" t="s">
        <v>21</v>
      </c>
      <c r="C13" s="75">
        <v>22</v>
      </c>
      <c r="D13" s="74">
        <v>37700</v>
      </c>
      <c r="E13" s="74">
        <v>7</v>
      </c>
      <c r="F13" s="74">
        <v>518</v>
      </c>
      <c r="G13" s="85">
        <v>424</v>
      </c>
      <c r="H13" s="74">
        <v>5200</v>
      </c>
      <c r="I13" s="35">
        <f t="shared" si="0"/>
        <v>9.5635529428632876E-2</v>
      </c>
    </row>
    <row r="14" spans="1:9" s="10" customFormat="1" ht="15.75">
      <c r="A14" s="46">
        <v>12</v>
      </c>
      <c r="B14" s="9" t="s">
        <v>17</v>
      </c>
      <c r="C14" s="75">
        <v>11</v>
      </c>
      <c r="D14" s="74">
        <v>37700</v>
      </c>
      <c r="E14" s="74">
        <v>3</v>
      </c>
      <c r="F14" s="74">
        <v>518</v>
      </c>
      <c r="G14" s="87">
        <v>457</v>
      </c>
      <c r="H14" s="74">
        <v>5200</v>
      </c>
      <c r="I14" s="35">
        <f t="shared" si="0"/>
        <v>9.3967898364450089E-2</v>
      </c>
    </row>
    <row r="15" spans="1:9" s="10" customFormat="1" ht="15.75">
      <c r="A15" s="43">
        <v>13</v>
      </c>
      <c r="B15" s="9" t="s">
        <v>18</v>
      </c>
      <c r="C15" s="75">
        <v>15</v>
      </c>
      <c r="D15" s="74">
        <v>37700</v>
      </c>
      <c r="E15" s="74">
        <v>2</v>
      </c>
      <c r="F15" s="74">
        <v>518</v>
      </c>
      <c r="G15" s="85">
        <v>437</v>
      </c>
      <c r="H15" s="74">
        <v>5200</v>
      </c>
      <c r="I15" s="35">
        <f t="shared" si="0"/>
        <v>8.8297343383550275E-2</v>
      </c>
    </row>
    <row r="16" spans="1:9" s="10" customFormat="1" ht="15.75">
      <c r="A16" s="46">
        <v>14</v>
      </c>
      <c r="B16" s="9" t="s">
        <v>12</v>
      </c>
      <c r="C16" s="75">
        <v>12</v>
      </c>
      <c r="D16" s="74">
        <v>37700</v>
      </c>
      <c r="E16" s="74">
        <v>3</v>
      </c>
      <c r="F16" s="74">
        <v>518</v>
      </c>
      <c r="G16" s="85">
        <v>420</v>
      </c>
      <c r="H16" s="74">
        <v>5200</v>
      </c>
      <c r="I16" s="35">
        <f t="shared" si="0"/>
        <v>8.6879038948004472E-2</v>
      </c>
    </row>
    <row r="17" spans="1:9" s="10" customFormat="1" ht="15.75">
      <c r="A17" s="43">
        <v>15</v>
      </c>
      <c r="B17" s="9" t="s">
        <v>28</v>
      </c>
      <c r="C17" s="75">
        <v>0</v>
      </c>
      <c r="D17" s="74">
        <v>37700</v>
      </c>
      <c r="E17" s="74">
        <v>0</v>
      </c>
      <c r="F17" s="74">
        <v>518</v>
      </c>
      <c r="G17" s="74">
        <v>381</v>
      </c>
      <c r="H17" s="74">
        <v>5200</v>
      </c>
      <c r="I17" s="35">
        <f t="shared" si="0"/>
        <v>7.3269230769230767E-2</v>
      </c>
    </row>
    <row r="18" spans="1:9" s="10" customFormat="1" ht="15.75">
      <c r="A18" s="46">
        <v>16</v>
      </c>
      <c r="B18" s="9" t="s">
        <v>11</v>
      </c>
      <c r="C18" s="75">
        <v>24</v>
      </c>
      <c r="D18" s="74">
        <v>37700</v>
      </c>
      <c r="E18" s="74">
        <v>5</v>
      </c>
      <c r="F18" s="74">
        <v>518</v>
      </c>
      <c r="G18" s="74">
        <v>312</v>
      </c>
      <c r="H18" s="74">
        <v>5200</v>
      </c>
      <c r="I18" s="35">
        <f t="shared" si="0"/>
        <v>7.0289114427045454E-2</v>
      </c>
    </row>
    <row r="19" spans="1:9" s="10" customFormat="1" ht="15.75">
      <c r="A19" s="43">
        <v>17</v>
      </c>
      <c r="B19" s="9" t="s">
        <v>30</v>
      </c>
      <c r="C19" s="75">
        <v>11</v>
      </c>
      <c r="D19" s="74">
        <v>37700</v>
      </c>
      <c r="E19" s="74">
        <v>2</v>
      </c>
      <c r="F19" s="74">
        <v>518</v>
      </c>
      <c r="G19" s="74">
        <v>327</v>
      </c>
      <c r="H19" s="74">
        <v>5200</v>
      </c>
      <c r="I19" s="35">
        <f t="shared" si="0"/>
        <v>6.7037396433948154E-2</v>
      </c>
    </row>
    <row r="20" spans="1:9" s="10" customFormat="1" ht="31.5">
      <c r="A20" s="46">
        <v>18</v>
      </c>
      <c r="B20" s="9" t="s">
        <v>20</v>
      </c>
      <c r="C20" s="75">
        <v>11</v>
      </c>
      <c r="D20" s="74">
        <v>37700</v>
      </c>
      <c r="E20" s="74">
        <v>3</v>
      </c>
      <c r="F20" s="74">
        <v>518</v>
      </c>
      <c r="G20" s="74">
        <v>313</v>
      </c>
      <c r="H20" s="74">
        <v>5200</v>
      </c>
      <c r="I20" s="35">
        <f t="shared" si="0"/>
        <v>6.6275590672142393E-2</v>
      </c>
    </row>
    <row r="21" spans="1:9" s="10" customFormat="1" ht="15.75">
      <c r="A21" s="43">
        <v>19</v>
      </c>
      <c r="B21" s="3" t="s">
        <v>26</v>
      </c>
      <c r="C21" s="75">
        <v>46</v>
      </c>
      <c r="D21" s="74">
        <v>37700</v>
      </c>
      <c r="E21" s="74">
        <v>4</v>
      </c>
      <c r="F21" s="74">
        <v>518</v>
      </c>
      <c r="G21" s="74">
        <v>278</v>
      </c>
      <c r="H21" s="74">
        <v>5200</v>
      </c>
      <c r="I21" s="35">
        <f t="shared" si="0"/>
        <v>6.2403705334739823E-2</v>
      </c>
    </row>
    <row r="22" spans="1:9" s="10" customFormat="1" ht="15.75">
      <c r="A22" s="46">
        <v>20</v>
      </c>
      <c r="B22" s="9" t="s">
        <v>122</v>
      </c>
      <c r="C22" s="81">
        <v>21</v>
      </c>
      <c r="D22" s="74">
        <v>37700</v>
      </c>
      <c r="E22" s="81">
        <v>4</v>
      </c>
      <c r="F22" s="74">
        <v>518</v>
      </c>
      <c r="G22" s="81">
        <v>247</v>
      </c>
      <c r="H22" s="74">
        <v>5200</v>
      </c>
      <c r="I22" s="35">
        <f t="shared" si="0"/>
        <v>5.5779036899726554E-2</v>
      </c>
    </row>
    <row r="23" spans="1:9" s="10" customFormat="1" ht="15.75">
      <c r="A23" s="43">
        <v>21</v>
      </c>
      <c r="B23" s="9" t="s">
        <v>14</v>
      </c>
      <c r="C23" s="75">
        <v>14</v>
      </c>
      <c r="D23" s="74">
        <v>37700</v>
      </c>
      <c r="E23" s="74">
        <v>3</v>
      </c>
      <c r="F23" s="74">
        <v>518</v>
      </c>
      <c r="G23" s="74">
        <v>252</v>
      </c>
      <c r="H23" s="74">
        <v>5200</v>
      </c>
      <c r="I23" s="35">
        <f t="shared" si="0"/>
        <v>5.4624397038190137E-2</v>
      </c>
    </row>
    <row r="24" spans="1:9" s="10" customFormat="1" ht="15.75">
      <c r="A24" s="46">
        <v>22</v>
      </c>
      <c r="B24" s="9" t="s">
        <v>24</v>
      </c>
      <c r="C24" s="75">
        <v>30</v>
      </c>
      <c r="D24" s="74">
        <v>37700</v>
      </c>
      <c r="E24" s="74">
        <v>8</v>
      </c>
      <c r="F24" s="74">
        <v>518</v>
      </c>
      <c r="G24" s="74">
        <v>177</v>
      </c>
      <c r="H24" s="74">
        <v>5200</v>
      </c>
      <c r="I24" s="35">
        <f t="shared" si="0"/>
        <v>5.0278232950646748E-2</v>
      </c>
    </row>
    <row r="25" spans="1:9" s="10" customFormat="1" ht="15.75">
      <c r="A25" s="43">
        <v>23</v>
      </c>
      <c r="B25" s="9" t="s">
        <v>8</v>
      </c>
      <c r="C25" s="75">
        <v>0</v>
      </c>
      <c r="D25" s="74">
        <v>37700</v>
      </c>
      <c r="E25" s="74">
        <v>0</v>
      </c>
      <c r="F25" s="74">
        <v>518</v>
      </c>
      <c r="G25" s="74">
        <v>259</v>
      </c>
      <c r="H25" s="74">
        <v>5200</v>
      </c>
      <c r="I25" s="35">
        <f t="shared" si="0"/>
        <v>4.980769230769231E-2</v>
      </c>
    </row>
    <row r="26" spans="1:9" s="10" customFormat="1" ht="15.75">
      <c r="A26" s="46">
        <v>24</v>
      </c>
      <c r="B26" s="9" t="s">
        <v>16</v>
      </c>
      <c r="C26" s="75">
        <v>13</v>
      </c>
      <c r="D26" s="74">
        <v>37700</v>
      </c>
      <c r="E26" s="74">
        <v>2</v>
      </c>
      <c r="F26" s="74">
        <v>518</v>
      </c>
      <c r="G26" s="74">
        <v>223</v>
      </c>
      <c r="H26" s="74">
        <v>5200</v>
      </c>
      <c r="I26" s="35">
        <f t="shared" si="0"/>
        <v>4.7090446831826137E-2</v>
      </c>
    </row>
    <row r="27" spans="1:9" s="10" customFormat="1" ht="15.75">
      <c r="A27" s="43">
        <v>25</v>
      </c>
      <c r="B27" s="9" t="s">
        <v>15</v>
      </c>
      <c r="C27" s="75">
        <v>10</v>
      </c>
      <c r="D27" s="74">
        <v>37700</v>
      </c>
      <c r="E27" s="74">
        <v>2</v>
      </c>
      <c r="F27" s="74">
        <v>518</v>
      </c>
      <c r="G27" s="74">
        <v>214</v>
      </c>
      <c r="H27" s="74">
        <v>5200</v>
      </c>
      <c r="I27" s="35">
        <f t="shared" si="0"/>
        <v>4.528010200423993E-2</v>
      </c>
    </row>
    <row r="28" spans="1:9" s="10" customFormat="1" ht="18" customHeight="1">
      <c r="A28" s="46">
        <v>26</v>
      </c>
      <c r="B28" s="9" t="s">
        <v>31</v>
      </c>
      <c r="C28" s="81">
        <v>17</v>
      </c>
      <c r="D28" s="74">
        <v>37700</v>
      </c>
      <c r="E28" s="81">
        <v>4</v>
      </c>
      <c r="F28" s="74">
        <v>518</v>
      </c>
      <c r="G28" s="81">
        <v>169</v>
      </c>
      <c r="H28" s="74">
        <v>5200</v>
      </c>
      <c r="I28" s="35">
        <f t="shared" si="0"/>
        <v>4.0672936103970589E-2</v>
      </c>
    </row>
    <row r="29" spans="1:9" s="10" customFormat="1" ht="15.75">
      <c r="A29" s="43">
        <v>27</v>
      </c>
      <c r="B29" s="9" t="s">
        <v>9</v>
      </c>
      <c r="C29" s="75">
        <v>11</v>
      </c>
      <c r="D29" s="74">
        <v>37700</v>
      </c>
      <c r="E29" s="74">
        <v>3</v>
      </c>
      <c r="F29" s="74">
        <v>518</v>
      </c>
      <c r="G29" s="74">
        <v>178</v>
      </c>
      <c r="H29" s="74">
        <v>5200</v>
      </c>
      <c r="I29" s="35">
        <f t="shared" si="0"/>
        <v>4.0314052210603933E-2</v>
      </c>
    </row>
    <row r="30" spans="1:9" s="10" customFormat="1" ht="15.75">
      <c r="A30" s="46">
        <v>28</v>
      </c>
      <c r="B30" s="9" t="s">
        <v>23</v>
      </c>
      <c r="C30" s="75">
        <v>9</v>
      </c>
      <c r="D30" s="74">
        <v>37700</v>
      </c>
      <c r="E30" s="74">
        <v>1</v>
      </c>
      <c r="F30" s="74">
        <v>518</v>
      </c>
      <c r="G30" s="74">
        <v>175</v>
      </c>
      <c r="H30" s="74">
        <v>5200</v>
      </c>
      <c r="I30" s="35">
        <f t="shared" si="0"/>
        <v>3.5823074874799014E-2</v>
      </c>
    </row>
    <row r="31" spans="1:9" s="10" customFormat="1" ht="20.25" customHeight="1">
      <c r="A31" s="43">
        <v>29</v>
      </c>
      <c r="B31" s="9" t="s">
        <v>27</v>
      </c>
      <c r="C31" s="75">
        <v>13</v>
      </c>
      <c r="D31" s="74">
        <v>37700</v>
      </c>
      <c r="E31" s="74">
        <v>3</v>
      </c>
      <c r="F31" s="74">
        <v>518</v>
      </c>
      <c r="G31" s="74">
        <v>115</v>
      </c>
      <c r="H31" s="74">
        <v>5200</v>
      </c>
      <c r="I31" s="35">
        <f t="shared" si="0"/>
        <v>2.8251717993097305E-2</v>
      </c>
    </row>
    <row r="32" spans="1:9" s="10" customFormat="1" ht="31.5">
      <c r="A32" s="46">
        <v>30</v>
      </c>
      <c r="B32" s="9" t="s">
        <v>7</v>
      </c>
      <c r="C32" s="25">
        <v>14</v>
      </c>
      <c r="D32" s="74">
        <v>37700</v>
      </c>
      <c r="E32" s="28">
        <v>4</v>
      </c>
      <c r="F32" s="74">
        <v>518</v>
      </c>
      <c r="G32" s="28">
        <v>84</v>
      </c>
      <c r="H32" s="74">
        <v>5200</v>
      </c>
      <c r="I32" s="35">
        <f t="shared" si="0"/>
        <v>2.4247206660999766E-2</v>
      </c>
    </row>
    <row r="33" spans="1:9" s="10" customFormat="1" ht="15.75">
      <c r="A33" s="43">
        <v>31</v>
      </c>
      <c r="B33" s="9" t="s">
        <v>32</v>
      </c>
      <c r="C33" s="75">
        <v>0</v>
      </c>
      <c r="D33" s="74">
        <v>37700</v>
      </c>
      <c r="E33" s="74">
        <v>0</v>
      </c>
      <c r="F33" s="74">
        <v>518</v>
      </c>
      <c r="G33" s="74">
        <v>0</v>
      </c>
      <c r="H33" s="74">
        <v>5200</v>
      </c>
      <c r="I33" s="35">
        <f t="shared" si="0"/>
        <v>0</v>
      </c>
    </row>
    <row r="34" spans="1:9" s="10" customFormat="1" ht="15.75">
      <c r="A34" s="88"/>
      <c r="B34" s="89"/>
      <c r="C34" s="90"/>
      <c r="D34" s="91"/>
      <c r="E34" s="90"/>
      <c r="F34" s="91"/>
      <c r="G34" s="90"/>
      <c r="H34" s="91"/>
      <c r="I34" s="92"/>
    </row>
    <row r="35" spans="1:9" ht="40.5">
      <c r="A35" s="37"/>
      <c r="B35" s="70" t="s">
        <v>114</v>
      </c>
      <c r="C35" s="42"/>
      <c r="D35" s="39"/>
      <c r="E35" s="37"/>
      <c r="F35" s="37"/>
      <c r="G35" s="37"/>
      <c r="H35" s="37"/>
      <c r="I35" s="37"/>
    </row>
    <row r="36" spans="1:9" ht="135.75" customHeight="1">
      <c r="A36" s="43" t="s">
        <v>92</v>
      </c>
      <c r="B36" s="55" t="s">
        <v>41</v>
      </c>
      <c r="C36" s="55" t="s">
        <v>50</v>
      </c>
      <c r="D36" s="55" t="s">
        <v>52</v>
      </c>
      <c r="E36" s="55" t="s">
        <v>51</v>
      </c>
      <c r="F36" s="55" t="s">
        <v>53</v>
      </c>
      <c r="G36" s="55" t="s">
        <v>95</v>
      </c>
      <c r="H36" s="55" t="s">
        <v>96</v>
      </c>
      <c r="I36" s="55" t="s">
        <v>143</v>
      </c>
    </row>
    <row r="37" spans="1:9" ht="31.5">
      <c r="A37" s="43">
        <v>1</v>
      </c>
      <c r="B37" s="3" t="s">
        <v>36</v>
      </c>
      <c r="C37" s="25">
        <v>165</v>
      </c>
      <c r="D37" s="28">
        <v>37700</v>
      </c>
      <c r="E37" s="22">
        <v>10</v>
      </c>
      <c r="F37" s="28">
        <v>518</v>
      </c>
      <c r="G37" s="22">
        <v>417</v>
      </c>
      <c r="H37" s="22">
        <v>5200</v>
      </c>
      <c r="I37" s="23">
        <f>C37/D37+E37/F37+G37/H37</f>
        <v>0.10387398482226068</v>
      </c>
    </row>
    <row r="38" spans="1:9" ht="31.5">
      <c r="A38" s="43">
        <v>2</v>
      </c>
      <c r="B38" s="3" t="s">
        <v>35</v>
      </c>
      <c r="C38" s="25">
        <v>0</v>
      </c>
      <c r="D38" s="28">
        <v>37700</v>
      </c>
      <c r="E38" s="22">
        <v>0</v>
      </c>
      <c r="F38" s="28">
        <v>518</v>
      </c>
      <c r="G38" s="22">
        <v>518</v>
      </c>
      <c r="H38" s="22">
        <v>5200</v>
      </c>
      <c r="I38" s="23">
        <f>C38/D38+E38/F38+G38/H38</f>
        <v>9.961538461538462E-2</v>
      </c>
    </row>
    <row r="39" spans="1:9" ht="15.75">
      <c r="A39" s="43">
        <v>3</v>
      </c>
      <c r="B39" s="3" t="s">
        <v>34</v>
      </c>
      <c r="C39" s="25">
        <v>0</v>
      </c>
      <c r="D39" s="28">
        <v>37700</v>
      </c>
      <c r="E39" s="22">
        <v>0</v>
      </c>
      <c r="F39" s="28">
        <v>518</v>
      </c>
      <c r="G39" s="22">
        <v>279</v>
      </c>
      <c r="H39" s="22">
        <v>5200</v>
      </c>
      <c r="I39" s="23">
        <f>C39/D39+E39/F39+G39/H39</f>
        <v>5.3653846153846156E-2</v>
      </c>
    </row>
    <row r="40" spans="1:9" ht="15.75">
      <c r="A40" s="43">
        <v>4</v>
      </c>
      <c r="B40" s="3" t="s">
        <v>33</v>
      </c>
      <c r="C40" s="25">
        <v>0</v>
      </c>
      <c r="D40" s="28">
        <v>37700</v>
      </c>
      <c r="E40" s="22">
        <v>0</v>
      </c>
      <c r="F40" s="28">
        <v>518</v>
      </c>
      <c r="G40" s="22">
        <v>251</v>
      </c>
      <c r="H40" s="22">
        <v>5200</v>
      </c>
      <c r="I40" s="23">
        <f>C40/D40+E40/F40+G40/H40</f>
        <v>4.8269230769230773E-2</v>
      </c>
    </row>
    <row r="41" spans="1:9" ht="15.75">
      <c r="B41" s="7"/>
      <c r="C41" s="7"/>
      <c r="D41" s="7"/>
      <c r="E41" s="129"/>
      <c r="F41" s="124"/>
      <c r="G41" s="129"/>
    </row>
    <row r="42" spans="1:9">
      <c r="C42" s="7"/>
      <c r="D42" s="7"/>
      <c r="E42" s="129"/>
      <c r="F42" s="129"/>
      <c r="G42" s="129"/>
    </row>
    <row r="43" spans="1:9">
      <c r="B43" s="7"/>
      <c r="C43" s="7"/>
      <c r="D43" s="7"/>
    </row>
    <row r="44" spans="1:9">
      <c r="B44" s="7"/>
      <c r="C44" s="7"/>
      <c r="D44" s="7"/>
    </row>
    <row r="45" spans="1:9">
      <c r="B45" s="7"/>
      <c r="C45" s="7"/>
      <c r="D45" s="7"/>
    </row>
    <row r="46" spans="1:9">
      <c r="B46" s="7"/>
      <c r="C46" s="7"/>
      <c r="D46" s="7"/>
    </row>
    <row r="47" spans="1:9">
      <c r="B47" s="7"/>
      <c r="C47" s="7"/>
      <c r="D47" s="7"/>
    </row>
    <row r="48" spans="1:9">
      <c r="B48" s="7"/>
      <c r="C48" s="7"/>
      <c r="D48" s="7"/>
    </row>
    <row r="49" spans="2:4">
      <c r="B49" s="7"/>
      <c r="C49" s="7"/>
      <c r="D49" s="7"/>
    </row>
    <row r="50" spans="2:4">
      <c r="B50" s="7"/>
      <c r="C50" s="7"/>
      <c r="D50" s="7"/>
    </row>
    <row r="51" spans="2:4">
      <c r="B51" s="7"/>
      <c r="C51" s="7"/>
      <c r="D51" s="7"/>
    </row>
    <row r="52" spans="2:4">
      <c r="B52" s="7"/>
      <c r="C52" s="7"/>
      <c r="D52" s="7"/>
    </row>
    <row r="53" spans="2:4">
      <c r="B53" s="7"/>
      <c r="C53" s="7"/>
      <c r="D53" s="7"/>
    </row>
    <row r="54" spans="2:4">
      <c r="B54" s="7"/>
      <c r="C54" s="7"/>
      <c r="D54" s="7"/>
    </row>
    <row r="55" spans="2:4">
      <c r="B55" s="7"/>
      <c r="C55" s="7"/>
      <c r="D55" s="7"/>
    </row>
    <row r="56" spans="2:4">
      <c r="B56" s="7"/>
      <c r="C56" s="7"/>
      <c r="D56" s="7"/>
    </row>
    <row r="57" spans="2:4">
      <c r="B57" s="7"/>
      <c r="C57" s="7"/>
      <c r="D57" s="7"/>
    </row>
    <row r="58" spans="2:4">
      <c r="B58" s="7"/>
      <c r="C58" s="7"/>
      <c r="D58" s="7"/>
    </row>
    <row r="59" spans="2:4">
      <c r="B59" s="7"/>
      <c r="C59" s="7"/>
      <c r="D59" s="7"/>
    </row>
    <row r="60" spans="2:4">
      <c r="B60" s="7"/>
      <c r="C60" s="7"/>
      <c r="D60" s="7"/>
    </row>
    <row r="61" spans="2:4">
      <c r="B61" s="7"/>
      <c r="C61" s="7"/>
      <c r="D61" s="7"/>
    </row>
    <row r="62" spans="2:4">
      <c r="B62" s="7"/>
      <c r="C62" s="7"/>
      <c r="D62" s="7"/>
    </row>
    <row r="63" spans="2:4">
      <c r="B63" s="7"/>
      <c r="C63" s="7"/>
      <c r="D63" s="7"/>
    </row>
    <row r="64" spans="2:4">
      <c r="B64" s="7"/>
      <c r="C64" s="7"/>
      <c r="D64" s="7"/>
    </row>
    <row r="65" spans="2:4">
      <c r="B65" s="7"/>
      <c r="C65" s="7"/>
      <c r="D65" s="7"/>
    </row>
    <row r="66" spans="2:4">
      <c r="B66" s="7"/>
      <c r="C66" s="7"/>
      <c r="D66" s="7"/>
    </row>
    <row r="67" spans="2:4">
      <c r="B67" s="7"/>
      <c r="C67" s="7"/>
      <c r="D67" s="7"/>
    </row>
    <row r="68" spans="2:4">
      <c r="B68" s="7"/>
      <c r="C68" s="7"/>
      <c r="D68" s="7"/>
    </row>
    <row r="69" spans="2:4">
      <c r="B69" s="7"/>
      <c r="C69" s="7"/>
      <c r="D69" s="7"/>
    </row>
    <row r="70" spans="2:4">
      <c r="B70" s="7"/>
      <c r="C70" s="7"/>
      <c r="D70" s="7"/>
    </row>
    <row r="71" spans="2:4">
      <c r="B71" s="7"/>
      <c r="C71" s="7"/>
      <c r="D71" s="7"/>
    </row>
    <row r="72" spans="2:4">
      <c r="B72" s="7"/>
      <c r="C72" s="7"/>
      <c r="D72" s="7"/>
    </row>
    <row r="73" spans="2:4">
      <c r="B73" s="7"/>
      <c r="C73" s="7"/>
      <c r="D73" s="7"/>
    </row>
    <row r="74" spans="2:4">
      <c r="B74" s="7"/>
      <c r="C74" s="7"/>
      <c r="D74" s="7"/>
    </row>
    <row r="75" spans="2:4">
      <c r="B75" s="7"/>
      <c r="C75" s="7"/>
      <c r="D75" s="7"/>
    </row>
    <row r="76" spans="2:4">
      <c r="B76" s="7"/>
      <c r="C76" s="7"/>
      <c r="D76" s="7"/>
    </row>
    <row r="77" spans="2:4">
      <c r="B77" s="7"/>
      <c r="C77" s="7"/>
      <c r="D77" s="7"/>
    </row>
    <row r="78" spans="2:4">
      <c r="B78" s="7"/>
      <c r="C78" s="7"/>
      <c r="D78" s="7"/>
    </row>
    <row r="79" spans="2:4">
      <c r="B79" s="7"/>
      <c r="C79" s="7"/>
      <c r="D79" s="7"/>
    </row>
    <row r="80" spans="2:4">
      <c r="B80" s="7"/>
      <c r="C80" s="7"/>
      <c r="D80" s="7"/>
    </row>
    <row r="81" spans="2:4">
      <c r="B81" s="7"/>
      <c r="C81" s="7"/>
      <c r="D81" s="7"/>
    </row>
    <row r="82" spans="2:4">
      <c r="B82" s="7"/>
      <c r="C82" s="7"/>
      <c r="D82" s="7"/>
    </row>
    <row r="83" spans="2:4">
      <c r="B83" s="7"/>
      <c r="C83" s="7"/>
      <c r="D83" s="7"/>
    </row>
    <row r="84" spans="2:4">
      <c r="B84" s="7"/>
      <c r="C84" s="7"/>
      <c r="D84" s="7"/>
    </row>
    <row r="85" spans="2:4">
      <c r="B85" s="7"/>
      <c r="C85" s="7"/>
      <c r="D85" s="7"/>
    </row>
    <row r="86" spans="2:4">
      <c r="B86" s="7"/>
      <c r="C86" s="7"/>
      <c r="D86" s="7"/>
    </row>
    <row r="87" spans="2:4">
      <c r="B87" s="7"/>
      <c r="C87" s="7"/>
      <c r="D87" s="7"/>
    </row>
    <row r="88" spans="2:4">
      <c r="B88" s="7"/>
      <c r="C88" s="7"/>
      <c r="D88" s="7"/>
    </row>
    <row r="89" spans="2:4">
      <c r="B89" s="7"/>
      <c r="C89" s="7"/>
      <c r="D89" s="7"/>
    </row>
    <row r="90" spans="2:4">
      <c r="B90" s="7"/>
      <c r="C90" s="7"/>
      <c r="D90" s="7"/>
    </row>
    <row r="91" spans="2:4">
      <c r="B91" s="7"/>
      <c r="C91" s="7"/>
      <c r="D91" s="7"/>
    </row>
    <row r="92" spans="2:4">
      <c r="B92" s="7"/>
      <c r="C92" s="7"/>
      <c r="D92" s="7"/>
    </row>
    <row r="93" spans="2:4">
      <c r="B93" s="7"/>
      <c r="C93" s="7"/>
      <c r="D93" s="7"/>
    </row>
    <row r="94" spans="2:4">
      <c r="B94" s="7"/>
      <c r="C94" s="7"/>
      <c r="D94" s="7"/>
    </row>
    <row r="95" spans="2:4">
      <c r="B95" s="7"/>
      <c r="C95" s="7"/>
      <c r="D95" s="7"/>
    </row>
    <row r="96" spans="2:4">
      <c r="B96" s="7"/>
      <c r="C96" s="7"/>
      <c r="D96" s="7"/>
    </row>
    <row r="97" spans="2:4">
      <c r="B97" s="7"/>
      <c r="C97" s="7"/>
      <c r="D97" s="7"/>
    </row>
    <row r="98" spans="2:4">
      <c r="B98" s="7"/>
      <c r="C98" s="7"/>
      <c r="D98" s="7"/>
    </row>
    <row r="99" spans="2:4">
      <c r="B99" s="7"/>
      <c r="C99" s="7"/>
      <c r="D99" s="7"/>
    </row>
    <row r="100" spans="2:4">
      <c r="B100" s="7"/>
      <c r="C100" s="7"/>
      <c r="D100" s="7"/>
    </row>
    <row r="101" spans="2:4">
      <c r="B101" s="7"/>
      <c r="C101" s="7"/>
      <c r="D101" s="7"/>
    </row>
    <row r="102" spans="2:4">
      <c r="B102" s="7"/>
      <c r="C102" s="7"/>
      <c r="D102" s="7"/>
    </row>
    <row r="103" spans="2:4">
      <c r="B103" s="7"/>
      <c r="C103" s="7"/>
      <c r="D103" s="7"/>
    </row>
    <row r="104" spans="2:4">
      <c r="B104" s="7"/>
      <c r="C104" s="7"/>
      <c r="D104" s="7"/>
    </row>
    <row r="105" spans="2:4">
      <c r="B105" s="7"/>
      <c r="C105" s="7"/>
      <c r="D105" s="7"/>
    </row>
    <row r="106" spans="2:4">
      <c r="B106" s="7"/>
      <c r="C106" s="7"/>
      <c r="D106" s="7"/>
    </row>
    <row r="107" spans="2:4">
      <c r="B107" s="7"/>
      <c r="C107" s="7"/>
      <c r="D107" s="7"/>
    </row>
    <row r="108" spans="2:4">
      <c r="B108" s="7"/>
      <c r="C108" s="7"/>
      <c r="D108" s="7"/>
    </row>
    <row r="109" spans="2:4">
      <c r="B109" s="7"/>
      <c r="C109" s="7"/>
      <c r="D109" s="7"/>
    </row>
    <row r="110" spans="2:4">
      <c r="B110" s="7"/>
      <c r="C110" s="7"/>
      <c r="D110" s="7"/>
    </row>
    <row r="111" spans="2:4">
      <c r="B111" s="7"/>
      <c r="C111" s="7"/>
      <c r="D111" s="7"/>
    </row>
    <row r="112" spans="2:4">
      <c r="B112" s="7"/>
      <c r="C112" s="7"/>
      <c r="D112" s="7"/>
    </row>
    <row r="113" spans="2:4">
      <c r="B113" s="7"/>
      <c r="C113" s="7"/>
      <c r="D113" s="7"/>
    </row>
    <row r="114" spans="2:4">
      <c r="B114" s="7"/>
      <c r="C114" s="7"/>
      <c r="D114" s="7"/>
    </row>
    <row r="115" spans="2:4">
      <c r="B115" s="7"/>
      <c r="C115" s="7"/>
      <c r="D115" s="7"/>
    </row>
    <row r="116" spans="2:4">
      <c r="B116" s="7"/>
      <c r="C116" s="7"/>
      <c r="D116" s="7"/>
    </row>
    <row r="117" spans="2:4">
      <c r="B117" s="7"/>
      <c r="C117" s="7"/>
      <c r="D117" s="7"/>
    </row>
    <row r="118" spans="2:4">
      <c r="B118" s="7"/>
      <c r="C118" s="7"/>
      <c r="D118" s="7"/>
    </row>
    <row r="119" spans="2:4">
      <c r="B119" s="7"/>
      <c r="C119" s="7"/>
      <c r="D119" s="7"/>
    </row>
    <row r="120" spans="2:4">
      <c r="B120" s="7"/>
      <c r="C120" s="7"/>
      <c r="D120" s="7"/>
    </row>
    <row r="121" spans="2:4">
      <c r="B121" s="7"/>
      <c r="C121" s="7"/>
      <c r="D121" s="7"/>
    </row>
    <row r="122" spans="2:4">
      <c r="B122" s="7"/>
      <c r="C122" s="7"/>
      <c r="D122" s="7"/>
    </row>
    <row r="123" spans="2:4">
      <c r="B123" s="7"/>
      <c r="C123" s="7"/>
      <c r="D123" s="7"/>
    </row>
    <row r="124" spans="2:4">
      <c r="B124" s="7"/>
      <c r="C124" s="7"/>
      <c r="D124" s="7"/>
    </row>
    <row r="125" spans="2:4">
      <c r="B125" s="7"/>
      <c r="C125" s="7"/>
      <c r="D125" s="7"/>
    </row>
    <row r="126" spans="2:4">
      <c r="B126" s="7"/>
      <c r="C126" s="7"/>
      <c r="D126" s="7"/>
    </row>
    <row r="127" spans="2:4">
      <c r="B127" s="7"/>
      <c r="C127" s="7"/>
      <c r="D127" s="7"/>
    </row>
    <row r="128" spans="2:4">
      <c r="B128" s="7"/>
      <c r="C128" s="7"/>
      <c r="D128" s="7"/>
    </row>
    <row r="129" spans="2:4">
      <c r="B129" s="7"/>
      <c r="C129" s="7"/>
      <c r="D129" s="7"/>
    </row>
    <row r="130" spans="2:4">
      <c r="B130" s="7"/>
      <c r="C130" s="7"/>
      <c r="D130" s="7"/>
    </row>
    <row r="131" spans="2:4">
      <c r="B131" s="7"/>
      <c r="C131" s="7"/>
      <c r="D131" s="7"/>
    </row>
    <row r="132" spans="2:4">
      <c r="B132" s="7"/>
      <c r="C132" s="7"/>
      <c r="D132" s="7"/>
    </row>
    <row r="133" spans="2:4">
      <c r="B133" s="7"/>
      <c r="C133" s="7"/>
      <c r="D133" s="7"/>
    </row>
    <row r="134" spans="2:4">
      <c r="B134" s="7"/>
      <c r="C134" s="7"/>
      <c r="D134" s="7"/>
    </row>
    <row r="135" spans="2:4">
      <c r="B135" s="7"/>
      <c r="C135" s="7"/>
      <c r="D135" s="7"/>
    </row>
    <row r="136" spans="2:4">
      <c r="B136" s="7"/>
      <c r="C136" s="7"/>
      <c r="D136" s="7"/>
    </row>
    <row r="137" spans="2:4">
      <c r="B137" s="7"/>
      <c r="C137" s="7"/>
      <c r="D137" s="7"/>
    </row>
    <row r="138" spans="2:4">
      <c r="B138" s="7"/>
      <c r="C138" s="7"/>
      <c r="D138" s="7"/>
    </row>
    <row r="139" spans="2:4">
      <c r="B139" s="7"/>
      <c r="C139" s="7"/>
      <c r="D139" s="7"/>
    </row>
    <row r="140" spans="2:4">
      <c r="B140" s="7"/>
      <c r="C140" s="7"/>
      <c r="D140" s="7"/>
    </row>
    <row r="141" spans="2:4">
      <c r="B141" s="7"/>
      <c r="C141" s="7"/>
      <c r="D141" s="7"/>
    </row>
    <row r="142" spans="2:4">
      <c r="B142" s="7"/>
      <c r="C142" s="7"/>
      <c r="D142" s="7"/>
    </row>
    <row r="143" spans="2:4">
      <c r="B143" s="7"/>
      <c r="C143" s="7"/>
      <c r="D143" s="7"/>
    </row>
    <row r="144" spans="2:4">
      <c r="B144" s="7"/>
      <c r="C144" s="7"/>
      <c r="D144" s="7"/>
    </row>
    <row r="145" spans="2:4">
      <c r="B145" s="7"/>
      <c r="C145" s="7"/>
      <c r="D145" s="7"/>
    </row>
    <row r="146" spans="2:4">
      <c r="B146" s="7"/>
      <c r="C146" s="7"/>
      <c r="D146" s="7"/>
    </row>
    <row r="147" spans="2:4">
      <c r="B147" s="7"/>
      <c r="C147" s="7"/>
      <c r="D147" s="7"/>
    </row>
    <row r="148" spans="2:4">
      <c r="B148" s="7"/>
      <c r="C148" s="7"/>
      <c r="D148" s="7"/>
    </row>
    <row r="149" spans="2:4">
      <c r="B149" s="7"/>
      <c r="C149" s="7"/>
      <c r="D149" s="7"/>
    </row>
    <row r="150" spans="2:4">
      <c r="B150" s="7"/>
      <c r="C150" s="7"/>
      <c r="D150" s="7"/>
    </row>
    <row r="151" spans="2:4">
      <c r="B151" s="7"/>
      <c r="C151" s="7"/>
      <c r="D151" s="7"/>
    </row>
    <row r="152" spans="2:4">
      <c r="B152" s="7"/>
      <c r="C152" s="7"/>
      <c r="D152" s="7"/>
    </row>
    <row r="153" spans="2:4">
      <c r="B153" s="7"/>
      <c r="C153" s="7"/>
      <c r="D153" s="7"/>
    </row>
    <row r="154" spans="2:4">
      <c r="B154" s="7"/>
      <c r="C154" s="7"/>
      <c r="D154" s="7"/>
    </row>
    <row r="155" spans="2:4">
      <c r="B155" s="7"/>
      <c r="C155" s="7"/>
      <c r="D155" s="7"/>
    </row>
    <row r="156" spans="2:4">
      <c r="B156" s="7"/>
      <c r="C156" s="7"/>
      <c r="D156" s="7"/>
    </row>
    <row r="157" spans="2:4">
      <c r="B157" s="7"/>
      <c r="C157" s="7"/>
      <c r="D157" s="7"/>
    </row>
    <row r="158" spans="2:4">
      <c r="B158" s="7"/>
      <c r="C158" s="7"/>
      <c r="D158" s="7"/>
    </row>
    <row r="159" spans="2:4">
      <c r="B159" s="7"/>
      <c r="C159" s="7"/>
      <c r="D159" s="7"/>
    </row>
    <row r="160" spans="2:4">
      <c r="B160" s="7"/>
      <c r="C160" s="7"/>
      <c r="D160" s="7"/>
    </row>
    <row r="161" spans="2:4">
      <c r="B161" s="7"/>
      <c r="C161" s="7"/>
      <c r="D161" s="7"/>
    </row>
    <row r="162" spans="2:4">
      <c r="B162" s="7"/>
      <c r="C162" s="7"/>
      <c r="D162" s="7"/>
    </row>
    <row r="163" spans="2:4">
      <c r="B163" s="7"/>
      <c r="C163" s="7"/>
      <c r="D163" s="7"/>
    </row>
    <row r="164" spans="2:4">
      <c r="B164" s="7"/>
      <c r="C164" s="7"/>
      <c r="D164" s="7"/>
    </row>
    <row r="165" spans="2:4">
      <c r="B165" s="7"/>
      <c r="C165" s="7"/>
      <c r="D165" s="7"/>
    </row>
    <row r="166" spans="2:4">
      <c r="B166" s="7"/>
      <c r="C166" s="7"/>
      <c r="D166" s="7"/>
    </row>
    <row r="167" spans="2:4">
      <c r="B167" s="7"/>
      <c r="C167" s="7"/>
      <c r="D167" s="7"/>
    </row>
    <row r="168" spans="2:4">
      <c r="B168" s="7"/>
      <c r="C168" s="7"/>
      <c r="D168" s="7"/>
    </row>
    <row r="169" spans="2:4">
      <c r="B169" s="7"/>
      <c r="C169" s="7"/>
      <c r="D169" s="7"/>
    </row>
    <row r="170" spans="2:4">
      <c r="B170" s="7"/>
      <c r="C170" s="7"/>
      <c r="D170" s="7"/>
    </row>
    <row r="171" spans="2:4">
      <c r="B171" s="7"/>
      <c r="C171" s="7"/>
      <c r="D171" s="7"/>
    </row>
    <row r="172" spans="2:4">
      <c r="B172" s="7"/>
      <c r="C172" s="7"/>
      <c r="D172" s="7"/>
    </row>
    <row r="173" spans="2:4">
      <c r="B173" s="7"/>
      <c r="C173" s="7"/>
      <c r="D173" s="7"/>
    </row>
    <row r="174" spans="2:4">
      <c r="B174" s="7"/>
      <c r="C174" s="7"/>
      <c r="D174" s="7"/>
    </row>
    <row r="175" spans="2:4">
      <c r="B175" s="7"/>
      <c r="C175" s="7"/>
      <c r="D175" s="7"/>
    </row>
    <row r="176" spans="2:4">
      <c r="B176" s="7"/>
      <c r="C176" s="7"/>
      <c r="D176" s="7"/>
    </row>
    <row r="177" spans="2:4">
      <c r="B177" s="7"/>
      <c r="C177" s="7"/>
      <c r="D177" s="7"/>
    </row>
    <row r="178" spans="2:4">
      <c r="B178" s="7"/>
      <c r="C178" s="7"/>
      <c r="D178" s="7"/>
    </row>
    <row r="179" spans="2:4">
      <c r="B179" s="7"/>
      <c r="C179" s="7"/>
      <c r="D179" s="7"/>
    </row>
    <row r="180" spans="2:4">
      <c r="B180" s="7"/>
      <c r="C180" s="7"/>
      <c r="D180" s="7"/>
    </row>
    <row r="181" spans="2:4">
      <c r="B181" s="7"/>
      <c r="C181" s="7"/>
      <c r="D181" s="7"/>
    </row>
    <row r="182" spans="2:4">
      <c r="B182" s="7"/>
      <c r="C182" s="7"/>
      <c r="D182" s="7"/>
    </row>
    <row r="183" spans="2:4">
      <c r="B183" s="7"/>
      <c r="C183" s="7"/>
      <c r="D183" s="7"/>
    </row>
    <row r="184" spans="2:4">
      <c r="B184" s="7"/>
      <c r="C184" s="7"/>
      <c r="D184" s="7"/>
    </row>
    <row r="185" spans="2:4">
      <c r="B185" s="7"/>
      <c r="C185" s="7"/>
      <c r="D185" s="7"/>
    </row>
    <row r="186" spans="2:4">
      <c r="B186" s="7"/>
      <c r="C186" s="7"/>
      <c r="D186" s="7"/>
    </row>
    <row r="187" spans="2:4">
      <c r="B187" s="7"/>
      <c r="C187" s="7"/>
      <c r="D187" s="7"/>
    </row>
    <row r="188" spans="2:4">
      <c r="B188" s="7"/>
      <c r="C188" s="7"/>
      <c r="D188" s="7"/>
    </row>
    <row r="189" spans="2:4">
      <c r="B189" s="7"/>
      <c r="C189" s="7"/>
      <c r="D189" s="7"/>
    </row>
    <row r="190" spans="2:4">
      <c r="B190" s="7"/>
      <c r="C190" s="7"/>
      <c r="D190" s="7"/>
    </row>
    <row r="191" spans="2:4">
      <c r="B191" s="7"/>
      <c r="C191" s="7"/>
      <c r="D191" s="7"/>
    </row>
    <row r="192" spans="2:4">
      <c r="B192" s="7"/>
      <c r="C192" s="7"/>
      <c r="D192" s="7"/>
    </row>
    <row r="193" spans="2:4">
      <c r="B193" s="7"/>
      <c r="C193" s="7"/>
      <c r="D193" s="7"/>
    </row>
    <row r="194" spans="2:4">
      <c r="B194" s="7"/>
      <c r="C194" s="7"/>
      <c r="D194" s="7"/>
    </row>
    <row r="195" spans="2:4">
      <c r="B195" s="7"/>
      <c r="C195" s="7"/>
      <c r="D195" s="7"/>
    </row>
    <row r="196" spans="2:4">
      <c r="B196" s="7"/>
      <c r="C196" s="7"/>
      <c r="D196" s="7"/>
    </row>
    <row r="197" spans="2:4">
      <c r="B197" s="7"/>
      <c r="C197" s="7"/>
      <c r="D197" s="7"/>
    </row>
    <row r="198" spans="2:4">
      <c r="B198" s="7"/>
      <c r="C198" s="7"/>
      <c r="D198" s="7"/>
    </row>
    <row r="199" spans="2:4">
      <c r="B199" s="7"/>
      <c r="C199" s="7"/>
      <c r="D199" s="7"/>
    </row>
    <row r="200" spans="2:4">
      <c r="B200" s="7"/>
      <c r="C200" s="7"/>
      <c r="D200" s="7"/>
    </row>
    <row r="201" spans="2:4">
      <c r="B201" s="7"/>
      <c r="C201" s="7"/>
      <c r="D201" s="7"/>
    </row>
    <row r="202" spans="2:4">
      <c r="B202" s="7"/>
      <c r="C202" s="7"/>
      <c r="D202" s="7"/>
    </row>
    <row r="203" spans="2:4">
      <c r="B203" s="7"/>
      <c r="C203" s="7"/>
      <c r="D203" s="7"/>
    </row>
    <row r="204" spans="2:4">
      <c r="B204" s="7"/>
      <c r="C204" s="7"/>
      <c r="D204" s="7"/>
    </row>
    <row r="205" spans="2:4">
      <c r="B205" s="7"/>
      <c r="C205" s="7"/>
      <c r="D205" s="7"/>
    </row>
    <row r="206" spans="2:4">
      <c r="B206" s="7"/>
      <c r="C206" s="7"/>
      <c r="D206" s="7"/>
    </row>
    <row r="207" spans="2:4">
      <c r="B207" s="7"/>
      <c r="C207" s="7"/>
      <c r="D207" s="7"/>
    </row>
    <row r="208" spans="2:4">
      <c r="B208" s="7"/>
      <c r="C208" s="7"/>
      <c r="D208" s="7"/>
    </row>
    <row r="209" spans="2:4">
      <c r="B209" s="7"/>
      <c r="C209" s="7"/>
      <c r="D209" s="7"/>
    </row>
    <row r="210" spans="2:4">
      <c r="B210" s="7"/>
      <c r="C210" s="7"/>
      <c r="D210" s="7"/>
    </row>
    <row r="211" spans="2:4">
      <c r="B211" s="7"/>
      <c r="C211" s="7"/>
      <c r="D211" s="7"/>
    </row>
    <row r="212" spans="2:4">
      <c r="B212" s="7"/>
      <c r="C212" s="7"/>
      <c r="D212" s="7"/>
    </row>
    <row r="213" spans="2:4">
      <c r="B213" s="7"/>
      <c r="C213" s="7"/>
      <c r="D213" s="7"/>
    </row>
    <row r="214" spans="2:4">
      <c r="B214" s="7"/>
      <c r="C214" s="7"/>
      <c r="D214" s="7"/>
    </row>
    <row r="215" spans="2:4">
      <c r="B215" s="7"/>
      <c r="C215" s="7"/>
      <c r="D215" s="7"/>
    </row>
    <row r="216" spans="2:4">
      <c r="B216" s="7"/>
      <c r="C216" s="7"/>
      <c r="D216" s="7"/>
    </row>
    <row r="217" spans="2:4">
      <c r="B217" s="7"/>
      <c r="C217" s="7"/>
      <c r="D217" s="7"/>
    </row>
    <row r="218" spans="2:4">
      <c r="B218" s="7"/>
      <c r="C218" s="7"/>
      <c r="D218" s="7"/>
    </row>
  </sheetData>
  <sortState ref="B37:I40">
    <sortCondition descending="1" ref="I37:I40"/>
  </sortState>
  <phoneticPr fontId="5" type="noConversion"/>
  <pageMargins left="0.33" right="0.28000000000000003" top="0.48" bottom="0.41" header="0.21" footer="0.25"/>
  <pageSetup paperSize="9" scale="65" orientation="landscape" verticalDpi="200" r:id="rId1"/>
  <headerFooter alignWithMargins="0"/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="80" zoomScaleNormal="80" workbookViewId="0"/>
  </sheetViews>
  <sheetFormatPr defaultRowHeight="12.75"/>
  <cols>
    <col min="1" max="1" width="6.7109375" bestFit="1" customWidth="1"/>
    <col min="2" max="2" width="54" customWidth="1"/>
    <col min="3" max="3" width="22.5703125" customWidth="1"/>
    <col min="4" max="4" width="22.42578125" customWidth="1"/>
    <col min="5" max="5" width="20.42578125" customWidth="1"/>
    <col min="6" max="6" width="18.5703125" customWidth="1"/>
    <col min="7" max="7" width="21.5703125" customWidth="1"/>
  </cols>
  <sheetData>
    <row r="1" spans="1:8" ht="51.75" customHeight="1">
      <c r="B1" s="169" t="s">
        <v>115</v>
      </c>
      <c r="C1" s="169"/>
      <c r="D1" s="37"/>
      <c r="E1" s="37"/>
      <c r="F1" s="37"/>
      <c r="G1" s="37"/>
      <c r="H1" s="10"/>
    </row>
    <row r="2" spans="1:8" ht="129.75" customHeight="1">
      <c r="A2" s="43" t="s">
        <v>130</v>
      </c>
      <c r="B2" s="54" t="s">
        <v>41</v>
      </c>
      <c r="C2" s="54" t="s">
        <v>43</v>
      </c>
      <c r="D2" s="54" t="s">
        <v>125</v>
      </c>
      <c r="E2" s="54" t="s">
        <v>44</v>
      </c>
      <c r="F2" s="54" t="s">
        <v>97</v>
      </c>
      <c r="G2" s="54" t="s">
        <v>132</v>
      </c>
    </row>
    <row r="3" spans="1:8" ht="15.75">
      <c r="A3" s="43">
        <v>1</v>
      </c>
      <c r="B3" s="3" t="s">
        <v>34</v>
      </c>
      <c r="C3" s="25">
        <v>6</v>
      </c>
      <c r="D3" s="25">
        <v>19</v>
      </c>
      <c r="E3" s="11">
        <v>8</v>
      </c>
      <c r="F3" s="25">
        <v>20</v>
      </c>
      <c r="G3" s="13">
        <f>C3/D3+E3/F3</f>
        <v>0.71578947368421053</v>
      </c>
    </row>
    <row r="4" spans="1:8" ht="33.75" customHeight="1">
      <c r="A4" s="43">
        <v>2</v>
      </c>
      <c r="B4" s="3" t="s">
        <v>36</v>
      </c>
      <c r="C4" s="11">
        <v>6</v>
      </c>
      <c r="D4" s="25">
        <v>19</v>
      </c>
      <c r="E4" s="11">
        <v>7</v>
      </c>
      <c r="F4" s="25">
        <v>20</v>
      </c>
      <c r="G4" s="13">
        <f>C4/D4+E4/F4</f>
        <v>0.66578947368421049</v>
      </c>
    </row>
    <row r="5" spans="1:8" ht="31.5" customHeight="1">
      <c r="A5" s="43">
        <v>3</v>
      </c>
      <c r="B5" s="3" t="s">
        <v>35</v>
      </c>
      <c r="C5" s="11">
        <v>4</v>
      </c>
      <c r="D5" s="25">
        <v>19</v>
      </c>
      <c r="E5" s="11">
        <v>4</v>
      </c>
      <c r="F5" s="25">
        <v>20</v>
      </c>
      <c r="G5" s="13">
        <f>C5/D5+E5/F5</f>
        <v>0.41052631578947368</v>
      </c>
    </row>
    <row r="6" spans="1:8" ht="15" customHeight="1">
      <c r="A6" s="43">
        <v>4</v>
      </c>
      <c r="B6" s="3" t="s">
        <v>33</v>
      </c>
      <c r="C6" s="25">
        <v>3</v>
      </c>
      <c r="D6" s="25">
        <v>19</v>
      </c>
      <c r="E6" s="11">
        <v>1</v>
      </c>
      <c r="F6" s="25">
        <v>20</v>
      </c>
      <c r="G6" s="13">
        <f>C6/D6+E6/F6</f>
        <v>0.20789473684210524</v>
      </c>
    </row>
    <row r="7" spans="1:8" ht="15.75">
      <c r="B7" s="48" t="s">
        <v>42</v>
      </c>
      <c r="C7" s="31">
        <f>SUM(C3:C6)</f>
        <v>19</v>
      </c>
      <c r="D7" s="31"/>
      <c r="E7" s="31">
        <f>SUM(E3:E6)</f>
        <v>20</v>
      </c>
      <c r="F7" s="16"/>
      <c r="G7" s="15"/>
    </row>
    <row r="8" spans="1:8">
      <c r="C8" s="14"/>
      <c r="D8" s="14"/>
    </row>
    <row r="9" spans="1:8" ht="15.75" customHeight="1">
      <c r="B9" s="6"/>
    </row>
  </sheetData>
  <sortState ref="B3:G6">
    <sortCondition descending="1" ref="G3:G6"/>
  </sortState>
  <mergeCells count="1">
    <mergeCell ref="B1:C1"/>
  </mergeCells>
  <phoneticPr fontId="5" type="noConversion"/>
  <pageMargins left="0.35" right="0.12" top="0.68" bottom="1" header="0.5" footer="0.5"/>
  <pageSetup scale="7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SheetLayoutView="75" workbookViewId="0">
      <selection activeCell="K38" sqref="K38"/>
    </sheetView>
  </sheetViews>
  <sheetFormatPr defaultRowHeight="12.75"/>
  <cols>
    <col min="1" max="1" width="4" customWidth="1"/>
    <col min="2" max="2" width="63.5703125" customWidth="1"/>
    <col min="3" max="4" width="13.7109375" customWidth="1"/>
    <col min="5" max="5" width="12.5703125" customWidth="1"/>
    <col min="6" max="6" width="12.42578125" customWidth="1"/>
    <col min="7" max="7" width="16" customWidth="1"/>
    <col min="8" max="8" width="13.140625" customWidth="1"/>
    <col min="9" max="9" width="13.42578125" customWidth="1"/>
    <col min="10" max="10" width="15.85546875" customWidth="1"/>
    <col min="11" max="11" width="14.140625" customWidth="1"/>
  </cols>
  <sheetData>
    <row r="1" spans="1:11" ht="20.25">
      <c r="A1" s="166" t="s">
        <v>153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ht="140.25" customHeight="1">
      <c r="A2" s="106" t="s">
        <v>149</v>
      </c>
      <c r="B2" s="51" t="s">
        <v>0</v>
      </c>
      <c r="C2" s="97" t="s">
        <v>101</v>
      </c>
      <c r="D2" s="97" t="s">
        <v>102</v>
      </c>
      <c r="E2" s="97" t="s">
        <v>147</v>
      </c>
      <c r="F2" s="97" t="s">
        <v>138</v>
      </c>
      <c r="G2" s="97" t="s">
        <v>150</v>
      </c>
      <c r="H2" s="97" t="s">
        <v>148</v>
      </c>
      <c r="I2" s="97" t="s">
        <v>139</v>
      </c>
      <c r="J2" s="98" t="s">
        <v>91</v>
      </c>
      <c r="K2" s="50"/>
    </row>
    <row r="3" spans="1:11" ht="22.5" customHeight="1">
      <c r="A3" s="43">
        <v>1</v>
      </c>
      <c r="B3" s="1" t="s">
        <v>122</v>
      </c>
      <c r="C3" s="13">
        <v>0.61</v>
      </c>
      <c r="D3" s="23">
        <v>0.92</v>
      </c>
      <c r="E3" s="23">
        <v>1.84</v>
      </c>
      <c r="F3" s="23">
        <v>0.01</v>
      </c>
      <c r="G3" s="53">
        <v>5.8999999999999997E-2</v>
      </c>
      <c r="H3" s="53">
        <v>3.4000000000000002E-2</v>
      </c>
      <c r="I3" s="23">
        <v>0.06</v>
      </c>
      <c r="J3" s="53">
        <f t="shared" ref="J3:J33" si="0">0.2*C3+0.1*D3+0.2*E3+0.1*F3+0.1*(G3+H3)+0.05*I3</f>
        <v>0.59530000000000005</v>
      </c>
      <c r="K3" s="50"/>
    </row>
    <row r="4" spans="1:11" ht="15.75" customHeight="1">
      <c r="A4" s="43">
        <v>2</v>
      </c>
      <c r="B4" s="1" t="s">
        <v>5</v>
      </c>
      <c r="C4" s="13">
        <v>1.19</v>
      </c>
      <c r="D4" s="23">
        <v>0.93</v>
      </c>
      <c r="E4" s="23">
        <v>0.76</v>
      </c>
      <c r="F4" s="23">
        <v>0.05</v>
      </c>
      <c r="G4" s="53">
        <v>7.0000000000000001E-3</v>
      </c>
      <c r="H4" s="53">
        <v>0.13300000000000001</v>
      </c>
      <c r="I4" s="23">
        <v>0.11</v>
      </c>
      <c r="J4" s="53">
        <f t="shared" si="0"/>
        <v>0.50749999999999995</v>
      </c>
      <c r="K4" s="50"/>
    </row>
    <row r="5" spans="1:11" ht="12.75" customHeight="1">
      <c r="A5" s="43">
        <v>3</v>
      </c>
      <c r="B5" s="1" t="s">
        <v>7</v>
      </c>
      <c r="C5" s="13">
        <v>1.28</v>
      </c>
      <c r="D5" s="23">
        <v>1.1399999999999999</v>
      </c>
      <c r="E5" s="23">
        <v>0.25</v>
      </c>
      <c r="F5" s="23">
        <v>0</v>
      </c>
      <c r="G5" s="53">
        <v>1.0999999999999999E-2</v>
      </c>
      <c r="H5" s="53">
        <v>1.2E-2</v>
      </c>
      <c r="I5" s="23">
        <v>0.02</v>
      </c>
      <c r="J5" s="53">
        <f t="shared" si="0"/>
        <v>0.42330000000000001</v>
      </c>
      <c r="K5" s="50"/>
    </row>
    <row r="6" spans="1:11" ht="15.75">
      <c r="A6" s="43">
        <v>4</v>
      </c>
      <c r="B6" s="1" t="s">
        <v>11</v>
      </c>
      <c r="C6" s="13">
        <v>0.86</v>
      </c>
      <c r="D6" s="23">
        <v>0.89</v>
      </c>
      <c r="E6" s="23">
        <v>0.62</v>
      </c>
      <c r="F6" s="23">
        <v>0</v>
      </c>
      <c r="G6" s="53">
        <v>3.5999999999999997E-2</v>
      </c>
      <c r="H6" s="53">
        <v>0.16700000000000001</v>
      </c>
      <c r="I6" s="23">
        <v>7.0000000000000007E-2</v>
      </c>
      <c r="J6" s="53">
        <f t="shared" si="0"/>
        <v>0.4088</v>
      </c>
      <c r="K6" s="50"/>
    </row>
    <row r="7" spans="1:11" ht="17.25" customHeight="1">
      <c r="A7" s="43">
        <v>5</v>
      </c>
      <c r="B7" s="1" t="s">
        <v>13</v>
      </c>
      <c r="C7" s="13">
        <v>0.31</v>
      </c>
      <c r="D7" s="23">
        <v>1.57</v>
      </c>
      <c r="E7" s="23">
        <v>0.71</v>
      </c>
      <c r="F7" s="23">
        <v>0.01</v>
      </c>
      <c r="G7" s="53">
        <v>9.0999999999999998E-2</v>
      </c>
      <c r="H7" s="53">
        <v>0.14399999999999999</v>
      </c>
      <c r="I7" s="23">
        <v>0.15</v>
      </c>
      <c r="J7" s="53">
        <f t="shared" si="0"/>
        <v>0.39300000000000002</v>
      </c>
      <c r="K7" s="50"/>
    </row>
    <row r="8" spans="1:11" ht="15.75">
      <c r="A8" s="43">
        <v>6</v>
      </c>
      <c r="B8" s="1" t="s">
        <v>25</v>
      </c>
      <c r="C8" s="13">
        <v>0.22</v>
      </c>
      <c r="D8" s="23">
        <v>1.41</v>
      </c>
      <c r="E8" s="23">
        <v>0.72</v>
      </c>
      <c r="F8" s="23">
        <v>0.09</v>
      </c>
      <c r="G8" s="53">
        <v>4.3999999999999997E-2</v>
      </c>
      <c r="H8" s="53">
        <v>8.5999999999999993E-2</v>
      </c>
      <c r="I8" s="23">
        <v>0.21</v>
      </c>
      <c r="J8" s="53">
        <f t="shared" si="0"/>
        <v>0.36149999999999999</v>
      </c>
      <c r="K8" s="50"/>
    </row>
    <row r="9" spans="1:11" ht="15.75">
      <c r="A9" s="43">
        <v>7</v>
      </c>
      <c r="B9" s="1" t="s">
        <v>14</v>
      </c>
      <c r="C9" s="13">
        <v>0.24</v>
      </c>
      <c r="D9" s="23">
        <v>1.0900000000000001</v>
      </c>
      <c r="E9" s="23">
        <v>0.89</v>
      </c>
      <c r="F9" s="23">
        <v>0.09</v>
      </c>
      <c r="G9" s="53">
        <v>4.5999999999999999E-2</v>
      </c>
      <c r="H9" s="53">
        <v>2.3E-2</v>
      </c>
      <c r="I9" s="23">
        <v>0.05</v>
      </c>
      <c r="J9" s="53">
        <f t="shared" si="0"/>
        <v>0.3534000000000001</v>
      </c>
      <c r="K9" s="50"/>
    </row>
    <row r="10" spans="1:11" ht="15.75">
      <c r="A10" s="43">
        <v>8</v>
      </c>
      <c r="B10" s="104" t="s">
        <v>16</v>
      </c>
      <c r="C10" s="162">
        <v>0.42</v>
      </c>
      <c r="D10" s="163">
        <v>1.44</v>
      </c>
      <c r="E10" s="163">
        <v>0.54</v>
      </c>
      <c r="F10" s="163">
        <v>0.03</v>
      </c>
      <c r="G10" s="164">
        <v>1.4999999999999999E-2</v>
      </c>
      <c r="H10" s="164">
        <v>0</v>
      </c>
      <c r="I10" s="163">
        <v>0.05</v>
      </c>
      <c r="J10" s="53">
        <f t="shared" si="0"/>
        <v>0.34299999999999997</v>
      </c>
      <c r="K10" s="50"/>
    </row>
    <row r="11" spans="1:11" ht="15.75">
      <c r="A11" s="43">
        <v>9</v>
      </c>
      <c r="B11" s="1" t="s">
        <v>9</v>
      </c>
      <c r="C11" s="13">
        <v>0.85</v>
      </c>
      <c r="D11" s="23">
        <v>1.1599999999999999</v>
      </c>
      <c r="E11" s="23">
        <v>0.25</v>
      </c>
      <c r="F11" s="23">
        <v>0</v>
      </c>
      <c r="G11" s="53">
        <v>2.9000000000000001E-2</v>
      </c>
      <c r="H11" s="53">
        <v>0</v>
      </c>
      <c r="I11" s="23">
        <v>0.04</v>
      </c>
      <c r="J11" s="53">
        <f t="shared" si="0"/>
        <v>0.34090000000000004</v>
      </c>
      <c r="K11" s="50"/>
    </row>
    <row r="12" spans="1:11" ht="16.5" customHeight="1">
      <c r="A12" s="43">
        <v>10</v>
      </c>
      <c r="B12" s="1" t="s">
        <v>4</v>
      </c>
      <c r="C12" s="13">
        <v>0.37</v>
      </c>
      <c r="D12" s="23">
        <v>1.35</v>
      </c>
      <c r="E12" s="23">
        <v>0.32</v>
      </c>
      <c r="F12" s="23">
        <v>0.04</v>
      </c>
      <c r="G12" s="53">
        <v>5.8000000000000003E-2</v>
      </c>
      <c r="H12" s="53">
        <v>6.0999999999999999E-2</v>
      </c>
      <c r="I12" s="23">
        <v>0.1</v>
      </c>
      <c r="J12" s="53">
        <f t="shared" si="0"/>
        <v>0.29390000000000005</v>
      </c>
      <c r="K12" s="50"/>
    </row>
    <row r="13" spans="1:11" ht="16.5" customHeight="1">
      <c r="A13" s="43">
        <v>11</v>
      </c>
      <c r="B13" s="1" t="s">
        <v>19</v>
      </c>
      <c r="C13" s="13">
        <v>0.2</v>
      </c>
      <c r="D13" s="23">
        <v>1.21</v>
      </c>
      <c r="E13" s="23">
        <v>0.47</v>
      </c>
      <c r="F13" s="23">
        <v>0.1</v>
      </c>
      <c r="G13" s="53">
        <v>7.1999999999999995E-2</v>
      </c>
      <c r="H13" s="53">
        <v>5.0000000000000001E-3</v>
      </c>
      <c r="I13" s="23">
        <v>0.12</v>
      </c>
      <c r="J13" s="53">
        <f t="shared" si="0"/>
        <v>0.2787</v>
      </c>
      <c r="K13" s="50"/>
    </row>
    <row r="14" spans="1:11" ht="15.75">
      <c r="A14" s="43">
        <v>12</v>
      </c>
      <c r="B14" s="1" t="s">
        <v>10</v>
      </c>
      <c r="C14" s="13">
        <v>0.32</v>
      </c>
      <c r="D14" s="23">
        <v>1.33</v>
      </c>
      <c r="E14" s="23">
        <v>0.28999999999999998</v>
      </c>
      <c r="F14" s="23">
        <v>0.08</v>
      </c>
      <c r="G14" s="53">
        <v>3.7999999999999999E-2</v>
      </c>
      <c r="H14" s="53">
        <v>1.6E-2</v>
      </c>
      <c r="I14" s="23">
        <v>0.2</v>
      </c>
      <c r="J14" s="53">
        <f t="shared" si="0"/>
        <v>0.27840000000000004</v>
      </c>
      <c r="K14" s="50"/>
    </row>
    <row r="15" spans="1:11" ht="15.75">
      <c r="A15" s="43">
        <v>13</v>
      </c>
      <c r="B15" s="1" t="s">
        <v>21</v>
      </c>
      <c r="C15" s="13">
        <v>0.25</v>
      </c>
      <c r="D15" s="23">
        <v>1.66</v>
      </c>
      <c r="E15" s="23">
        <v>0.14000000000000001</v>
      </c>
      <c r="F15" s="23">
        <v>0.04</v>
      </c>
      <c r="G15" s="53">
        <v>1.9E-2</v>
      </c>
      <c r="H15" s="53">
        <v>8.0000000000000002E-3</v>
      </c>
      <c r="I15" s="23">
        <v>0.1</v>
      </c>
      <c r="J15" s="53">
        <f t="shared" si="0"/>
        <v>0.25570000000000004</v>
      </c>
      <c r="K15" s="50"/>
    </row>
    <row r="16" spans="1:11" ht="15.75">
      <c r="A16" s="43">
        <v>14</v>
      </c>
      <c r="B16" s="1" t="s">
        <v>28</v>
      </c>
      <c r="C16" s="13">
        <v>7.0000000000000007E-2</v>
      </c>
      <c r="D16" s="23">
        <v>0.89</v>
      </c>
      <c r="E16" s="23">
        <v>0.69</v>
      </c>
      <c r="F16" s="23">
        <v>0.06</v>
      </c>
      <c r="G16" s="53">
        <v>2.1000000000000001E-2</v>
      </c>
      <c r="H16" s="53">
        <v>0</v>
      </c>
      <c r="I16" s="23">
        <v>7.0000000000000007E-2</v>
      </c>
      <c r="J16" s="53">
        <f t="shared" si="0"/>
        <v>0.25259999999999999</v>
      </c>
      <c r="K16" s="50"/>
    </row>
    <row r="17" spans="1:11" ht="18" customHeight="1">
      <c r="A17" s="43">
        <v>15</v>
      </c>
      <c r="B17" s="1" t="s">
        <v>8</v>
      </c>
      <c r="C17" s="13">
        <v>0.14000000000000001</v>
      </c>
      <c r="D17" s="23">
        <v>1.66</v>
      </c>
      <c r="E17" s="23">
        <v>0.18</v>
      </c>
      <c r="F17" s="23">
        <v>0.03</v>
      </c>
      <c r="G17" s="53">
        <v>0.11600000000000001</v>
      </c>
      <c r="H17" s="53">
        <v>4.2000000000000003E-2</v>
      </c>
      <c r="I17" s="23">
        <v>0.05</v>
      </c>
      <c r="J17" s="53">
        <f t="shared" si="0"/>
        <v>0.25130000000000002</v>
      </c>
      <c r="K17" s="50"/>
    </row>
    <row r="18" spans="1:11" ht="15.75">
      <c r="A18" s="43">
        <v>16</v>
      </c>
      <c r="B18" s="1" t="s">
        <v>12</v>
      </c>
      <c r="C18" s="13">
        <v>0.32</v>
      </c>
      <c r="D18" s="23">
        <v>1.03</v>
      </c>
      <c r="E18" s="23">
        <v>0.35</v>
      </c>
      <c r="F18" s="23">
        <v>0.08</v>
      </c>
      <c r="G18" s="53">
        <v>1.7000000000000001E-2</v>
      </c>
      <c r="H18" s="53">
        <v>0</v>
      </c>
      <c r="I18" s="23">
        <v>0.09</v>
      </c>
      <c r="J18" s="53">
        <f t="shared" si="0"/>
        <v>0.25119999999999998</v>
      </c>
      <c r="K18" s="50"/>
    </row>
    <row r="19" spans="1:11" ht="15.75">
      <c r="A19" s="43">
        <v>17</v>
      </c>
      <c r="B19" s="1" t="s">
        <v>29</v>
      </c>
      <c r="C19" s="13">
        <v>0.13</v>
      </c>
      <c r="D19" s="23">
        <v>1.23</v>
      </c>
      <c r="E19" s="23">
        <v>0.22</v>
      </c>
      <c r="F19" s="23">
        <v>0.13</v>
      </c>
      <c r="G19" s="53">
        <v>1.2E-2</v>
      </c>
      <c r="H19" s="53">
        <v>1.2E-2</v>
      </c>
      <c r="I19" s="23">
        <v>0.2</v>
      </c>
      <c r="J19" s="53">
        <f t="shared" si="0"/>
        <v>0.21840000000000004</v>
      </c>
      <c r="K19" s="50"/>
    </row>
    <row r="20" spans="1:11" ht="15.75">
      <c r="A20" s="43">
        <v>18</v>
      </c>
      <c r="B20" s="1" t="s">
        <v>17</v>
      </c>
      <c r="C20" s="13">
        <v>7.0000000000000007E-2</v>
      </c>
      <c r="D20" s="23">
        <v>1.02</v>
      </c>
      <c r="E20" s="23">
        <v>0.41</v>
      </c>
      <c r="F20" s="23">
        <v>0.01</v>
      </c>
      <c r="G20" s="53">
        <v>2.3E-2</v>
      </c>
      <c r="H20" s="53">
        <v>0.114</v>
      </c>
      <c r="I20" s="23">
        <v>0.09</v>
      </c>
      <c r="J20" s="53">
        <f t="shared" si="0"/>
        <v>0.2172</v>
      </c>
      <c r="K20" s="50"/>
    </row>
    <row r="21" spans="1:11" ht="15.75">
      <c r="A21" s="43">
        <v>19</v>
      </c>
      <c r="B21" s="1" t="s">
        <v>6</v>
      </c>
      <c r="C21" s="13">
        <v>0.24</v>
      </c>
      <c r="D21" s="23">
        <v>1.1200000000000001</v>
      </c>
      <c r="E21" s="23">
        <v>0.17</v>
      </c>
      <c r="F21" s="23">
        <v>0.05</v>
      </c>
      <c r="G21" s="53">
        <v>3.4000000000000002E-2</v>
      </c>
      <c r="H21" s="53">
        <v>1.4E-2</v>
      </c>
      <c r="I21" s="23">
        <v>0.26</v>
      </c>
      <c r="J21" s="53">
        <f t="shared" si="0"/>
        <v>0.21680000000000005</v>
      </c>
      <c r="K21" s="50"/>
    </row>
    <row r="22" spans="1:11" ht="15.75">
      <c r="A22" s="43">
        <v>20</v>
      </c>
      <c r="B22" s="1" t="s">
        <v>26</v>
      </c>
      <c r="C22" s="13">
        <v>0.03</v>
      </c>
      <c r="D22" s="23">
        <v>1.47</v>
      </c>
      <c r="E22" s="23">
        <v>0.21</v>
      </c>
      <c r="F22" s="23">
        <v>0</v>
      </c>
      <c r="G22" s="53">
        <v>5.8000000000000003E-2</v>
      </c>
      <c r="H22" s="53">
        <v>0.03</v>
      </c>
      <c r="I22" s="23">
        <v>0.06</v>
      </c>
      <c r="J22" s="53">
        <f t="shared" si="0"/>
        <v>0.20680000000000001</v>
      </c>
      <c r="K22" s="50"/>
    </row>
    <row r="23" spans="1:11" ht="15.75">
      <c r="A23" s="43">
        <v>21</v>
      </c>
      <c r="B23" s="1" t="s">
        <v>15</v>
      </c>
      <c r="C23" s="13">
        <v>0.08</v>
      </c>
      <c r="D23" s="23">
        <v>1.0900000000000001</v>
      </c>
      <c r="E23" s="23">
        <v>0.34</v>
      </c>
      <c r="F23" s="23">
        <v>0.03</v>
      </c>
      <c r="G23" s="53">
        <v>6.0000000000000001E-3</v>
      </c>
      <c r="H23" s="53">
        <v>1.4999999999999999E-2</v>
      </c>
      <c r="I23" s="23">
        <v>0.05</v>
      </c>
      <c r="J23" s="53">
        <f t="shared" si="0"/>
        <v>0.2006</v>
      </c>
      <c r="K23" s="50"/>
    </row>
    <row r="24" spans="1:11" ht="15.75">
      <c r="A24" s="43">
        <v>22</v>
      </c>
      <c r="B24" s="1" t="s">
        <v>20</v>
      </c>
      <c r="C24" s="13">
        <v>0.24</v>
      </c>
      <c r="D24" s="23">
        <v>1</v>
      </c>
      <c r="E24" s="23">
        <v>0.2</v>
      </c>
      <c r="F24" s="23">
        <v>0</v>
      </c>
      <c r="G24" s="53">
        <v>6.0000000000000001E-3</v>
      </c>
      <c r="H24" s="53">
        <v>4.2000000000000003E-2</v>
      </c>
      <c r="I24" s="23">
        <v>7.0000000000000007E-2</v>
      </c>
      <c r="J24" s="53">
        <f t="shared" si="0"/>
        <v>0.19630000000000003</v>
      </c>
      <c r="K24" s="50"/>
    </row>
    <row r="25" spans="1:11" ht="15.75">
      <c r="A25" s="43">
        <v>23</v>
      </c>
      <c r="B25" s="104" t="s">
        <v>30</v>
      </c>
      <c r="C25" s="162">
        <v>0.16</v>
      </c>
      <c r="D25" s="163">
        <v>1.01</v>
      </c>
      <c r="E25" s="163">
        <v>0.17</v>
      </c>
      <c r="F25" s="163">
        <v>0</v>
      </c>
      <c r="G25" s="164">
        <v>0.01</v>
      </c>
      <c r="H25" s="164">
        <v>1E-3</v>
      </c>
      <c r="I25" s="163">
        <v>7.0000000000000007E-2</v>
      </c>
      <c r="J25" s="53">
        <f t="shared" si="0"/>
        <v>0.1716</v>
      </c>
      <c r="K25" s="50"/>
    </row>
    <row r="26" spans="1:11" ht="15.75">
      <c r="A26" s="43">
        <v>24</v>
      </c>
      <c r="B26" s="1" t="s">
        <v>22</v>
      </c>
      <c r="C26" s="13">
        <v>0.25</v>
      </c>
      <c r="D26" s="23">
        <v>0.94</v>
      </c>
      <c r="E26" s="23">
        <v>0.09</v>
      </c>
      <c r="F26" s="23">
        <v>0</v>
      </c>
      <c r="G26" s="53">
        <v>2.4E-2</v>
      </c>
      <c r="H26" s="53">
        <v>0</v>
      </c>
      <c r="I26" s="23">
        <v>0.11</v>
      </c>
      <c r="J26" s="53">
        <f t="shared" si="0"/>
        <v>0.16990000000000002</v>
      </c>
      <c r="K26" s="50"/>
    </row>
    <row r="27" spans="1:11" ht="15.75">
      <c r="A27" s="43">
        <v>25</v>
      </c>
      <c r="B27" s="1" t="s">
        <v>31</v>
      </c>
      <c r="C27" s="13">
        <v>0.21</v>
      </c>
      <c r="D27" s="23">
        <v>0.8</v>
      </c>
      <c r="E27" s="23">
        <v>0.21</v>
      </c>
      <c r="F27" s="23">
        <v>0</v>
      </c>
      <c r="G27" s="53">
        <v>3.0000000000000001E-3</v>
      </c>
      <c r="H27" s="53">
        <v>1.4999999999999999E-2</v>
      </c>
      <c r="I27" s="23">
        <v>0.04</v>
      </c>
      <c r="J27" s="53">
        <f t="shared" si="0"/>
        <v>0.16780000000000003</v>
      </c>
      <c r="K27" s="50"/>
    </row>
    <row r="28" spans="1:11" ht="15.75">
      <c r="A28" s="43">
        <v>26</v>
      </c>
      <c r="B28" s="104" t="s">
        <v>18</v>
      </c>
      <c r="C28" s="162">
        <v>0.06</v>
      </c>
      <c r="D28" s="163">
        <v>0.83</v>
      </c>
      <c r="E28" s="163">
        <v>0.26</v>
      </c>
      <c r="F28" s="163">
        <v>0.03</v>
      </c>
      <c r="G28" s="164">
        <v>5.8000000000000003E-2</v>
      </c>
      <c r="H28" s="164">
        <v>0</v>
      </c>
      <c r="I28" s="163">
        <v>0.09</v>
      </c>
      <c r="J28" s="53">
        <f t="shared" si="0"/>
        <v>0.16030000000000003</v>
      </c>
      <c r="K28" s="50"/>
    </row>
    <row r="29" spans="1:11" ht="15.75">
      <c r="A29" s="43">
        <v>27</v>
      </c>
      <c r="B29" s="104" t="s">
        <v>23</v>
      </c>
      <c r="C29" s="162">
        <v>0.1</v>
      </c>
      <c r="D29" s="163">
        <v>0.87</v>
      </c>
      <c r="E29" s="163">
        <v>0.23</v>
      </c>
      <c r="F29" s="163">
        <v>0</v>
      </c>
      <c r="G29" s="164">
        <v>1.4E-2</v>
      </c>
      <c r="H29" s="164">
        <v>0</v>
      </c>
      <c r="I29" s="163">
        <v>0.04</v>
      </c>
      <c r="J29" s="53">
        <f t="shared" si="0"/>
        <v>0.15640000000000004</v>
      </c>
      <c r="K29" s="50"/>
    </row>
    <row r="30" spans="1:11" ht="15.75" customHeight="1">
      <c r="A30" s="43">
        <v>28</v>
      </c>
      <c r="B30" s="1" t="s">
        <v>24</v>
      </c>
      <c r="C30" s="13">
        <v>0.06</v>
      </c>
      <c r="D30" s="23">
        <v>0.76</v>
      </c>
      <c r="E30" s="23">
        <v>0.19</v>
      </c>
      <c r="F30" s="23">
        <v>0.03</v>
      </c>
      <c r="G30" s="53">
        <v>6.0000000000000001E-3</v>
      </c>
      <c r="H30" s="53">
        <v>1.4999999999999999E-2</v>
      </c>
      <c r="I30" s="23">
        <v>0.05</v>
      </c>
      <c r="J30" s="53">
        <f t="shared" si="0"/>
        <v>0.1336</v>
      </c>
      <c r="K30" s="50"/>
    </row>
    <row r="31" spans="1:11" ht="16.5" customHeight="1">
      <c r="A31" s="43">
        <v>29</v>
      </c>
      <c r="B31" s="1" t="s">
        <v>27</v>
      </c>
      <c r="C31" s="13">
        <v>0.11</v>
      </c>
      <c r="D31" s="23">
        <v>0.78</v>
      </c>
      <c r="E31" s="23">
        <v>0.06</v>
      </c>
      <c r="F31" s="23">
        <v>0.01</v>
      </c>
      <c r="G31" s="53">
        <v>2.5999999999999999E-2</v>
      </c>
      <c r="H31" s="53">
        <v>1.2999999999999999E-2</v>
      </c>
      <c r="I31" s="23">
        <v>0.03</v>
      </c>
      <c r="J31" s="53">
        <f t="shared" si="0"/>
        <v>0.11840000000000002</v>
      </c>
      <c r="K31" s="50"/>
    </row>
    <row r="32" spans="1:11" ht="15.75">
      <c r="A32" s="43">
        <v>30</v>
      </c>
      <c r="B32" s="1" t="s">
        <v>103</v>
      </c>
      <c r="C32" s="13">
        <v>0.05</v>
      </c>
      <c r="D32" s="23">
        <v>0.71</v>
      </c>
      <c r="E32" s="23">
        <v>0.01</v>
      </c>
      <c r="F32" s="23">
        <v>0</v>
      </c>
      <c r="G32" s="53">
        <v>0.04</v>
      </c>
      <c r="H32" s="53">
        <v>0</v>
      </c>
      <c r="I32" s="23">
        <v>0.1</v>
      </c>
      <c r="J32" s="53">
        <f t="shared" si="0"/>
        <v>9.1999999999999998E-2</v>
      </c>
      <c r="K32" s="50"/>
    </row>
    <row r="33" spans="1:11" ht="15.75">
      <c r="A33" s="43">
        <v>31</v>
      </c>
      <c r="B33" s="104" t="s">
        <v>32</v>
      </c>
      <c r="C33" s="162">
        <v>0.01</v>
      </c>
      <c r="D33" s="163">
        <v>0.2</v>
      </c>
      <c r="E33" s="163">
        <v>0</v>
      </c>
      <c r="F33" s="163">
        <v>0</v>
      </c>
      <c r="G33" s="164">
        <v>0</v>
      </c>
      <c r="H33" s="164">
        <v>0</v>
      </c>
      <c r="I33" s="163">
        <v>0</v>
      </c>
      <c r="J33" s="53">
        <f t="shared" si="0"/>
        <v>2.2000000000000006E-2</v>
      </c>
      <c r="K33" s="50"/>
    </row>
    <row r="34" spans="1:11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50" customHeight="1">
      <c r="A35" s="106" t="s">
        <v>149</v>
      </c>
      <c r="B35" s="51" t="s">
        <v>41</v>
      </c>
      <c r="C35" s="99" t="s">
        <v>101</v>
      </c>
      <c r="D35" s="99" t="s">
        <v>102</v>
      </c>
      <c r="E35" s="100" t="s">
        <v>146</v>
      </c>
      <c r="F35" s="100" t="s">
        <v>138</v>
      </c>
      <c r="G35" s="100" t="s">
        <v>151</v>
      </c>
      <c r="H35" s="100" t="s">
        <v>148</v>
      </c>
      <c r="I35" s="100" t="s">
        <v>139</v>
      </c>
      <c r="J35" s="99" t="s">
        <v>140</v>
      </c>
      <c r="K35" s="36" t="s">
        <v>91</v>
      </c>
    </row>
    <row r="36" spans="1:11" ht="15.75">
      <c r="A36" s="43">
        <v>1</v>
      </c>
      <c r="B36" s="1" t="s">
        <v>34</v>
      </c>
      <c r="C36" s="33">
        <v>2</v>
      </c>
      <c r="D36" s="23">
        <v>1.58</v>
      </c>
      <c r="E36" s="23">
        <v>2.81</v>
      </c>
      <c r="F36" s="23">
        <v>0.32</v>
      </c>
      <c r="G36" s="23">
        <v>0.25</v>
      </c>
      <c r="H36" s="23">
        <v>0.27</v>
      </c>
      <c r="I36" s="23">
        <v>0.05</v>
      </c>
      <c r="J36" s="23">
        <v>0.72</v>
      </c>
      <c r="K36" s="52">
        <f>0.2*C36+0.1*D36+0.2*E36+0.1*F36+0.1*(G36+H36)+0.05*I36+0.05*J36</f>
        <v>1.2425000000000002</v>
      </c>
    </row>
    <row r="37" spans="1:11" ht="31.5">
      <c r="A37" s="43">
        <v>2</v>
      </c>
      <c r="B37" s="1" t="s">
        <v>36</v>
      </c>
      <c r="C37" s="33">
        <v>0.68</v>
      </c>
      <c r="D37" s="23">
        <v>1.46</v>
      </c>
      <c r="E37" s="23">
        <v>1.94</v>
      </c>
      <c r="F37" s="23">
        <v>0.32</v>
      </c>
      <c r="G37" s="23">
        <v>0.22</v>
      </c>
      <c r="H37" s="23">
        <v>0.37</v>
      </c>
      <c r="I37" s="23">
        <v>0.1</v>
      </c>
      <c r="J37" s="23">
        <v>0.67</v>
      </c>
      <c r="K37" s="52">
        <f t="shared" ref="K37:K39" si="1">0.2*C37+0.1*D37+0.2*E37+0.1*F37+0.1*(G37+H37)+0.05*I37+0.05*J37</f>
        <v>0.7995000000000001</v>
      </c>
    </row>
    <row r="38" spans="1:11" ht="31.5">
      <c r="A38" s="43">
        <v>3</v>
      </c>
      <c r="B38" s="1" t="s">
        <v>35</v>
      </c>
      <c r="C38" s="33">
        <v>1.37</v>
      </c>
      <c r="D38" s="23">
        <v>1.52</v>
      </c>
      <c r="E38" s="23">
        <v>1</v>
      </c>
      <c r="F38" s="23">
        <v>0.15</v>
      </c>
      <c r="G38" s="23">
        <v>0.1</v>
      </c>
      <c r="H38" s="23">
        <v>0.22</v>
      </c>
      <c r="I38" s="23">
        <v>0.1</v>
      </c>
      <c r="J38" s="23">
        <v>0.41</v>
      </c>
      <c r="K38" s="52">
        <f t="shared" si="1"/>
        <v>0.69850000000000012</v>
      </c>
    </row>
    <row r="39" spans="1:11" ht="15.75">
      <c r="A39" s="43">
        <v>4</v>
      </c>
      <c r="B39" s="1" t="s">
        <v>33</v>
      </c>
      <c r="C39" s="33">
        <v>1.19</v>
      </c>
      <c r="D39" s="23">
        <v>1.63</v>
      </c>
      <c r="E39" s="23">
        <v>0.89</v>
      </c>
      <c r="F39" s="23">
        <v>0.21</v>
      </c>
      <c r="G39" s="23">
        <v>0.43</v>
      </c>
      <c r="H39" s="23">
        <v>0.15</v>
      </c>
      <c r="I39" s="23">
        <v>0.05</v>
      </c>
      <c r="J39" s="23">
        <v>0.21</v>
      </c>
      <c r="K39" s="52">
        <f t="shared" si="1"/>
        <v>0.67100000000000004</v>
      </c>
    </row>
  </sheetData>
  <sortState ref="B3:J33">
    <sortCondition descending="1" ref="J3:J33"/>
  </sortState>
  <mergeCells count="1">
    <mergeCell ref="A1:J1"/>
  </mergeCells>
  <pageMargins left="0.27559055118110237" right="0.19685039370078741" top="0.35433070866141736" bottom="0.35433070866141736" header="0.31496062992125984" footer="0.23622047244094491"/>
  <pageSetup paperSize="9" scale="70" orientation="landscape" verticalDpi="300" r:id="rId1"/>
  <headerFooter alignWithMargins="0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85" zoomScaleNormal="85" workbookViewId="0">
      <selection activeCell="A25" sqref="A25"/>
    </sheetView>
  </sheetViews>
  <sheetFormatPr defaultRowHeight="12.75"/>
  <cols>
    <col min="1" max="1" width="6.7109375" customWidth="1"/>
    <col min="2" max="2" width="50" customWidth="1"/>
    <col min="3" max="3" width="24.85546875" customWidth="1"/>
    <col min="4" max="4" width="21.28515625" customWidth="1"/>
    <col min="5" max="5" width="28.28515625" customWidth="1"/>
  </cols>
  <sheetData>
    <row r="1" spans="1:5" ht="48" customHeight="1">
      <c r="B1" s="167" t="s">
        <v>37</v>
      </c>
      <c r="C1" s="167"/>
    </row>
    <row r="2" spans="1:5" ht="96.75" customHeight="1">
      <c r="A2" s="43" t="s">
        <v>92</v>
      </c>
      <c r="B2" s="56" t="s">
        <v>0</v>
      </c>
      <c r="C2" s="56" t="s">
        <v>1</v>
      </c>
      <c r="D2" s="56" t="s">
        <v>2</v>
      </c>
      <c r="E2" s="56" t="s">
        <v>136</v>
      </c>
    </row>
    <row r="3" spans="1:5" ht="34.5" customHeight="1">
      <c r="A3" s="43">
        <v>1</v>
      </c>
      <c r="B3" s="1" t="s">
        <v>7</v>
      </c>
      <c r="C3" s="101">
        <v>28.4</v>
      </c>
      <c r="D3" s="101">
        <v>3.7</v>
      </c>
      <c r="E3" s="13">
        <v>1.28</v>
      </c>
    </row>
    <row r="4" spans="1:5" ht="31.5">
      <c r="A4" s="43">
        <v>2</v>
      </c>
      <c r="B4" s="1" t="s">
        <v>5</v>
      </c>
      <c r="C4" s="101">
        <v>5.3</v>
      </c>
      <c r="D4" s="101">
        <v>13.4</v>
      </c>
      <c r="E4" s="13">
        <v>1.19</v>
      </c>
    </row>
    <row r="5" spans="1:5" ht="18.75" customHeight="1">
      <c r="A5" s="43">
        <v>3</v>
      </c>
      <c r="B5" s="1" t="s">
        <v>11</v>
      </c>
      <c r="C5" s="101">
        <v>0</v>
      </c>
      <c r="D5" s="101">
        <v>11.5</v>
      </c>
      <c r="E5" s="13">
        <v>0.86</v>
      </c>
    </row>
    <row r="6" spans="1:5" ht="15.75">
      <c r="A6" s="43">
        <v>4</v>
      </c>
      <c r="B6" s="1" t="s">
        <v>9</v>
      </c>
      <c r="C6" s="101">
        <v>0</v>
      </c>
      <c r="D6" s="101">
        <v>11.4</v>
      </c>
      <c r="E6" s="13">
        <v>0.85</v>
      </c>
    </row>
    <row r="7" spans="1:5" ht="31.5">
      <c r="A7" s="43">
        <v>5</v>
      </c>
      <c r="B7" s="1" t="s">
        <v>122</v>
      </c>
      <c r="C7" s="101">
        <v>0.9</v>
      </c>
      <c r="D7" s="101">
        <v>7.8</v>
      </c>
      <c r="E7" s="13">
        <v>0.61</v>
      </c>
    </row>
    <row r="8" spans="1:5" ht="15.75">
      <c r="A8" s="43">
        <v>6</v>
      </c>
      <c r="B8" s="1" t="s">
        <v>16</v>
      </c>
      <c r="C8" s="101">
        <v>0</v>
      </c>
      <c r="D8" s="101">
        <v>5.6</v>
      </c>
      <c r="E8" s="13">
        <v>0.42</v>
      </c>
    </row>
    <row r="9" spans="1:5" ht="31.5">
      <c r="A9" s="43">
        <v>7</v>
      </c>
      <c r="B9" s="1" t="s">
        <v>4</v>
      </c>
      <c r="C9" s="101">
        <v>0.8</v>
      </c>
      <c r="D9" s="101">
        <v>4.5</v>
      </c>
      <c r="E9" s="13">
        <v>0.37</v>
      </c>
    </row>
    <row r="10" spans="1:5" ht="17.25" customHeight="1">
      <c r="A10" s="43">
        <v>8</v>
      </c>
      <c r="B10" s="102" t="s">
        <v>10</v>
      </c>
      <c r="C10" s="101">
        <v>0</v>
      </c>
      <c r="D10" s="101">
        <v>4.3</v>
      </c>
      <c r="E10" s="13">
        <v>0.32</v>
      </c>
    </row>
    <row r="11" spans="1:5" ht="17.25" customHeight="1">
      <c r="A11" s="43">
        <v>9</v>
      </c>
      <c r="B11" s="1" t="s">
        <v>12</v>
      </c>
      <c r="C11" s="101">
        <v>0.2</v>
      </c>
      <c r="D11" s="101">
        <v>4.0999999999999996</v>
      </c>
      <c r="E11" s="13">
        <v>0.32</v>
      </c>
    </row>
    <row r="12" spans="1:5" ht="15.75">
      <c r="A12" s="43">
        <v>10</v>
      </c>
      <c r="B12" s="1" t="s">
        <v>13</v>
      </c>
      <c r="C12" s="101">
        <v>0</v>
      </c>
      <c r="D12" s="101">
        <v>4.0999999999999996</v>
      </c>
      <c r="E12" s="13">
        <v>0.31</v>
      </c>
    </row>
    <row r="13" spans="1:5" ht="15.75">
      <c r="A13" s="43">
        <v>11</v>
      </c>
      <c r="B13" s="1" t="s">
        <v>21</v>
      </c>
      <c r="C13" s="101">
        <v>0.6</v>
      </c>
      <c r="D13" s="101">
        <v>3.1</v>
      </c>
      <c r="E13" s="13">
        <v>0.25</v>
      </c>
    </row>
    <row r="14" spans="1:5" ht="15.75">
      <c r="A14" s="43">
        <v>12</v>
      </c>
      <c r="B14" s="1" t="s">
        <v>22</v>
      </c>
      <c r="C14" s="101">
        <v>0</v>
      </c>
      <c r="D14" s="101">
        <v>3.4</v>
      </c>
      <c r="E14" s="13">
        <v>0.25</v>
      </c>
    </row>
    <row r="15" spans="1:5" ht="14.25" customHeight="1">
      <c r="A15" s="43">
        <v>13</v>
      </c>
      <c r="B15" s="1" t="s">
        <v>14</v>
      </c>
      <c r="C15" s="101">
        <v>0</v>
      </c>
      <c r="D15" s="101">
        <v>3.2</v>
      </c>
      <c r="E15" s="13">
        <v>0.24</v>
      </c>
    </row>
    <row r="16" spans="1:5" ht="31.5">
      <c r="A16" s="43">
        <v>14</v>
      </c>
      <c r="B16" s="1" t="s">
        <v>20</v>
      </c>
      <c r="C16" s="101">
        <v>0</v>
      </c>
      <c r="D16" s="101">
        <v>3.2</v>
      </c>
      <c r="E16" s="13">
        <v>0.24</v>
      </c>
    </row>
    <row r="17" spans="1:5" ht="16.5" customHeight="1">
      <c r="A17" s="43">
        <v>15</v>
      </c>
      <c r="B17" s="1" t="s">
        <v>6</v>
      </c>
      <c r="C17" s="101">
        <v>1.5</v>
      </c>
      <c r="D17" s="101">
        <v>2.6</v>
      </c>
      <c r="E17" s="13">
        <v>0.24</v>
      </c>
    </row>
    <row r="18" spans="1:5" ht="15.75">
      <c r="A18" s="43">
        <v>16</v>
      </c>
      <c r="B18" s="1" t="s">
        <v>25</v>
      </c>
      <c r="C18" s="101">
        <v>0</v>
      </c>
      <c r="D18" s="101">
        <v>3</v>
      </c>
      <c r="E18" s="13">
        <v>0.22</v>
      </c>
    </row>
    <row r="19" spans="1:5" ht="15.75">
      <c r="A19" s="43">
        <v>17</v>
      </c>
      <c r="B19" s="1" t="s">
        <v>31</v>
      </c>
      <c r="C19" s="101">
        <v>0</v>
      </c>
      <c r="D19" s="101">
        <v>2.8</v>
      </c>
      <c r="E19" s="13">
        <v>0.21</v>
      </c>
    </row>
    <row r="20" spans="1:5" ht="13.5" customHeight="1">
      <c r="A20" s="43">
        <v>18</v>
      </c>
      <c r="B20" s="1" t="s">
        <v>19</v>
      </c>
      <c r="C20" s="101">
        <v>0.2</v>
      </c>
      <c r="D20" s="101">
        <v>2.5</v>
      </c>
      <c r="E20" s="13">
        <v>0.2</v>
      </c>
    </row>
    <row r="21" spans="1:5" ht="15.75">
      <c r="A21" s="43">
        <v>19</v>
      </c>
      <c r="B21" s="1" t="s">
        <v>30</v>
      </c>
      <c r="C21" s="101">
        <v>0</v>
      </c>
      <c r="D21" s="101">
        <v>2.1</v>
      </c>
      <c r="E21" s="13">
        <v>0.16</v>
      </c>
    </row>
    <row r="22" spans="1:5" ht="15.75">
      <c r="A22" s="43">
        <v>20</v>
      </c>
      <c r="B22" s="1" t="s">
        <v>8</v>
      </c>
      <c r="C22" s="101">
        <v>1.2</v>
      </c>
      <c r="D22" s="101">
        <v>1.3</v>
      </c>
      <c r="E22" s="13">
        <v>0.14000000000000001</v>
      </c>
    </row>
    <row r="23" spans="1:5" ht="15.75">
      <c r="A23" s="43">
        <v>21</v>
      </c>
      <c r="B23" s="1" t="s">
        <v>29</v>
      </c>
      <c r="C23" s="101">
        <v>0</v>
      </c>
      <c r="D23" s="101">
        <v>1.8</v>
      </c>
      <c r="E23" s="13">
        <v>0.13</v>
      </c>
    </row>
    <row r="24" spans="1:5" ht="15.75">
      <c r="A24" s="43">
        <v>22</v>
      </c>
      <c r="B24" s="1" t="s">
        <v>27</v>
      </c>
      <c r="C24" s="101">
        <v>0.4</v>
      </c>
      <c r="D24" s="101">
        <v>1.4</v>
      </c>
      <c r="E24" s="13">
        <v>0.11</v>
      </c>
    </row>
    <row r="25" spans="1:5" ht="29.25" customHeight="1">
      <c r="A25" s="43">
        <v>23</v>
      </c>
      <c r="B25" s="1" t="s">
        <v>23</v>
      </c>
      <c r="C25" s="101">
        <v>0</v>
      </c>
      <c r="D25" s="101">
        <v>1.3</v>
      </c>
      <c r="E25" s="13">
        <v>0.1</v>
      </c>
    </row>
    <row r="26" spans="1:5" ht="15.75">
      <c r="A26" s="43">
        <v>24</v>
      </c>
      <c r="B26" s="1" t="s">
        <v>15</v>
      </c>
      <c r="C26" s="101">
        <v>0.2</v>
      </c>
      <c r="D26" s="101">
        <v>0.9</v>
      </c>
      <c r="E26" s="13">
        <v>0.08</v>
      </c>
    </row>
    <row r="27" spans="1:5" ht="15.75">
      <c r="A27" s="43">
        <v>25</v>
      </c>
      <c r="B27" s="1" t="s">
        <v>28</v>
      </c>
      <c r="C27" s="101">
        <v>0.1</v>
      </c>
      <c r="D27" s="101">
        <v>0.9</v>
      </c>
      <c r="E27" s="13">
        <v>7.0000000000000007E-2</v>
      </c>
    </row>
    <row r="28" spans="1:5" ht="15.75">
      <c r="A28" s="43">
        <v>26</v>
      </c>
      <c r="B28" s="1" t="s">
        <v>17</v>
      </c>
      <c r="C28" s="101">
        <v>0</v>
      </c>
      <c r="D28" s="101">
        <v>0.9</v>
      </c>
      <c r="E28" s="13">
        <v>7.0000000000000007E-2</v>
      </c>
    </row>
    <row r="29" spans="1:5" ht="31.5">
      <c r="A29" s="43">
        <v>27</v>
      </c>
      <c r="B29" s="1" t="s">
        <v>24</v>
      </c>
      <c r="C29" s="101">
        <v>0</v>
      </c>
      <c r="D29" s="101">
        <v>0.8</v>
      </c>
      <c r="E29" s="13">
        <v>0.06</v>
      </c>
    </row>
    <row r="30" spans="1:5" ht="15.75" customHeight="1">
      <c r="A30" s="43">
        <v>28</v>
      </c>
      <c r="B30" s="1" t="s">
        <v>18</v>
      </c>
      <c r="C30" s="101">
        <v>0</v>
      </c>
      <c r="D30" s="101">
        <v>0.8</v>
      </c>
      <c r="E30" s="13">
        <v>0.06</v>
      </c>
    </row>
    <row r="31" spans="1:5" ht="15.75">
      <c r="A31" s="43">
        <v>29</v>
      </c>
      <c r="B31" s="1" t="s">
        <v>103</v>
      </c>
      <c r="C31" s="101">
        <v>0.9</v>
      </c>
      <c r="D31" s="101">
        <v>0.3</v>
      </c>
      <c r="E31" s="13">
        <v>0.05</v>
      </c>
    </row>
    <row r="32" spans="1:5" ht="15.75">
      <c r="A32" s="43">
        <v>30</v>
      </c>
      <c r="B32" s="1" t="s">
        <v>26</v>
      </c>
      <c r="C32" s="103">
        <v>0.3</v>
      </c>
      <c r="D32" s="103">
        <v>0.3</v>
      </c>
      <c r="E32" s="13">
        <v>0.03</v>
      </c>
    </row>
    <row r="33" spans="1:5" ht="15.75">
      <c r="A33" s="43">
        <v>31</v>
      </c>
      <c r="B33" s="1" t="s">
        <v>32</v>
      </c>
      <c r="C33" s="101">
        <v>0</v>
      </c>
      <c r="D33" s="101">
        <v>0.2</v>
      </c>
      <c r="E33" s="13">
        <v>0.01</v>
      </c>
    </row>
    <row r="34" spans="1:5" s="10" customFormat="1" ht="60.75" customHeight="1">
      <c r="A34" s="107"/>
      <c r="B34" s="168" t="s">
        <v>38</v>
      </c>
      <c r="C34" s="168"/>
      <c r="D34" s="110"/>
      <c r="E34" s="110"/>
    </row>
    <row r="35" spans="1:5" ht="57.75" customHeight="1">
      <c r="A35" s="43" t="s">
        <v>92</v>
      </c>
      <c r="B35" s="54" t="s">
        <v>41</v>
      </c>
      <c r="C35" s="54" t="s">
        <v>1</v>
      </c>
      <c r="D35" s="54" t="s">
        <v>2</v>
      </c>
      <c r="E35" s="54" t="s">
        <v>3</v>
      </c>
    </row>
    <row r="36" spans="1:5" ht="15.75">
      <c r="A36" s="43">
        <v>1</v>
      </c>
      <c r="B36" s="1" t="s">
        <v>34</v>
      </c>
      <c r="C36" s="33">
        <v>2.1</v>
      </c>
      <c r="D36" s="33">
        <v>4.0999999999999996</v>
      </c>
      <c r="E36" s="33">
        <v>2</v>
      </c>
    </row>
    <row r="37" spans="1:5" ht="31.5">
      <c r="A37" s="43">
        <v>2</v>
      </c>
      <c r="B37" s="1" t="s">
        <v>35</v>
      </c>
      <c r="C37" s="33">
        <v>1.1000000000000001</v>
      </c>
      <c r="D37" s="33">
        <v>3.5</v>
      </c>
      <c r="E37" s="33">
        <v>1.37</v>
      </c>
    </row>
    <row r="38" spans="1:5" ht="15.75">
      <c r="A38" s="43">
        <v>3</v>
      </c>
      <c r="B38" s="1" t="s">
        <v>33</v>
      </c>
      <c r="C38" s="33">
        <v>0.6</v>
      </c>
      <c r="D38" s="33">
        <v>3.7</v>
      </c>
      <c r="E38" s="33">
        <v>1.19</v>
      </c>
    </row>
    <row r="39" spans="1:5" ht="31.5">
      <c r="A39" s="43">
        <v>4</v>
      </c>
      <c r="B39" s="1" t="s">
        <v>36</v>
      </c>
      <c r="C39" s="33">
        <v>0</v>
      </c>
      <c r="D39" s="33">
        <v>2.8</v>
      </c>
      <c r="E39" s="33">
        <v>0.68</v>
      </c>
    </row>
  </sheetData>
  <sortState ref="B3:E33">
    <sortCondition descending="1" ref="E3:E33"/>
  </sortState>
  <mergeCells count="2">
    <mergeCell ref="B1:C1"/>
    <mergeCell ref="B34:C34"/>
  </mergeCells>
  <phoneticPr fontId="0" type="noConversion"/>
  <pageMargins left="0.27559055118110237" right="0.27559055118110237" top="0.31496062992125984" bottom="0.31496062992125984" header="0.2362204724409449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topLeftCell="A28" zoomScale="70" zoomScaleNormal="70" workbookViewId="0">
      <selection activeCell="J38" sqref="J38:J41"/>
    </sheetView>
  </sheetViews>
  <sheetFormatPr defaultRowHeight="12.75"/>
  <cols>
    <col min="1" max="1" width="7.42578125" customWidth="1"/>
    <col min="2" max="2" width="57.28515625" customWidth="1"/>
    <col min="3" max="3" width="17.140625" customWidth="1"/>
    <col min="4" max="4" width="14.140625" customWidth="1"/>
    <col min="5" max="5" width="14.42578125" customWidth="1"/>
    <col min="6" max="6" width="14.85546875" customWidth="1"/>
    <col min="7" max="7" width="21.42578125" customWidth="1"/>
    <col min="8" max="8" width="24.42578125" customWidth="1"/>
    <col min="9" max="9" width="22.85546875" customWidth="1"/>
    <col min="10" max="10" width="14.85546875" customWidth="1"/>
  </cols>
  <sheetData>
    <row r="1" spans="1:10" ht="37.5" customHeight="1">
      <c r="A1" s="20"/>
      <c r="B1" s="57" t="s">
        <v>39</v>
      </c>
      <c r="C1" s="20"/>
      <c r="D1" s="20"/>
      <c r="E1" s="20"/>
      <c r="F1" s="20"/>
      <c r="G1" s="20"/>
      <c r="H1" s="20"/>
      <c r="I1" s="20"/>
      <c r="J1" s="20"/>
    </row>
    <row r="2" spans="1:10" ht="223.5" customHeight="1">
      <c r="A2" s="141" t="s">
        <v>126</v>
      </c>
      <c r="B2" s="54" t="s">
        <v>0</v>
      </c>
      <c r="C2" s="54" t="s">
        <v>69</v>
      </c>
      <c r="D2" s="54" t="s">
        <v>70</v>
      </c>
      <c r="E2" s="54" t="s">
        <v>74</v>
      </c>
      <c r="F2" s="54" t="s">
        <v>71</v>
      </c>
      <c r="G2" s="54" t="s">
        <v>72</v>
      </c>
      <c r="H2" s="54" t="s">
        <v>73</v>
      </c>
      <c r="I2" s="54" t="s">
        <v>75</v>
      </c>
      <c r="J2" s="54" t="s">
        <v>135</v>
      </c>
    </row>
    <row r="3" spans="1:10" ht="15.75">
      <c r="A3" s="22">
        <v>1</v>
      </c>
      <c r="B3" s="9" t="s">
        <v>8</v>
      </c>
      <c r="C3" s="75">
        <v>14</v>
      </c>
      <c r="D3" s="75">
        <v>14</v>
      </c>
      <c r="E3" s="75"/>
      <c r="F3" s="74">
        <v>5</v>
      </c>
      <c r="G3" s="74">
        <v>8</v>
      </c>
      <c r="H3" s="74">
        <v>8</v>
      </c>
      <c r="I3" s="74">
        <v>90</v>
      </c>
      <c r="J3" s="23">
        <f t="shared" ref="J3:J33" si="0">(C3/D3)+(E3/F3)+(G3/D3)+(H3/I3)</f>
        <v>1.6603174603174602</v>
      </c>
    </row>
    <row r="4" spans="1:10" ht="15.75">
      <c r="A4" s="22">
        <v>2</v>
      </c>
      <c r="B4" s="9" t="s">
        <v>21</v>
      </c>
      <c r="C4" s="75">
        <v>10</v>
      </c>
      <c r="D4" s="75">
        <v>10</v>
      </c>
      <c r="E4" s="75"/>
      <c r="F4" s="74">
        <v>5</v>
      </c>
      <c r="G4" s="74">
        <v>6</v>
      </c>
      <c r="H4" s="74">
        <v>5</v>
      </c>
      <c r="I4" s="74">
        <v>90</v>
      </c>
      <c r="J4" s="23">
        <f t="shared" si="0"/>
        <v>1.6555555555555557</v>
      </c>
    </row>
    <row r="5" spans="1:10" ht="15.75">
      <c r="A5" s="22">
        <v>3</v>
      </c>
      <c r="B5" s="9" t="s">
        <v>13</v>
      </c>
      <c r="C5" s="75">
        <v>13</v>
      </c>
      <c r="D5" s="75">
        <v>18</v>
      </c>
      <c r="E5" s="75">
        <v>1</v>
      </c>
      <c r="F5" s="74">
        <v>5</v>
      </c>
      <c r="G5" s="74">
        <v>10</v>
      </c>
      <c r="H5" s="74">
        <v>8</v>
      </c>
      <c r="I5" s="74">
        <v>90</v>
      </c>
      <c r="J5" s="23">
        <f t="shared" si="0"/>
        <v>1.5666666666666667</v>
      </c>
    </row>
    <row r="6" spans="1:10" ht="15.75">
      <c r="A6" s="22">
        <v>4</v>
      </c>
      <c r="B6" s="9" t="s">
        <v>26</v>
      </c>
      <c r="C6" s="75">
        <v>17</v>
      </c>
      <c r="D6" s="75">
        <v>20</v>
      </c>
      <c r="E6" s="75"/>
      <c r="F6" s="74">
        <v>5</v>
      </c>
      <c r="G6" s="74">
        <v>10</v>
      </c>
      <c r="H6" s="74">
        <v>11</v>
      </c>
      <c r="I6" s="74">
        <v>90</v>
      </c>
      <c r="J6" s="23">
        <f t="shared" si="0"/>
        <v>1.4722222222222223</v>
      </c>
    </row>
    <row r="7" spans="1:10" ht="15.75">
      <c r="A7" s="22">
        <v>5</v>
      </c>
      <c r="B7" s="9" t="s">
        <v>16</v>
      </c>
      <c r="C7" s="75">
        <v>7</v>
      </c>
      <c r="D7" s="75">
        <v>7</v>
      </c>
      <c r="E7" s="75"/>
      <c r="F7" s="74">
        <v>5</v>
      </c>
      <c r="G7" s="74">
        <v>3</v>
      </c>
      <c r="H7" s="74">
        <v>1</v>
      </c>
      <c r="I7" s="74">
        <v>90</v>
      </c>
      <c r="J7" s="23">
        <f t="shared" si="0"/>
        <v>1.4396825396825397</v>
      </c>
    </row>
    <row r="8" spans="1:10" ht="15.75">
      <c r="A8" s="22">
        <v>6</v>
      </c>
      <c r="B8" s="9" t="s">
        <v>25</v>
      </c>
      <c r="C8" s="75">
        <v>16</v>
      </c>
      <c r="D8" s="75">
        <v>21</v>
      </c>
      <c r="E8" s="75">
        <v>1</v>
      </c>
      <c r="F8" s="74">
        <v>5</v>
      </c>
      <c r="G8" s="74">
        <v>7</v>
      </c>
      <c r="H8" s="74">
        <v>10</v>
      </c>
      <c r="I8" s="74">
        <v>90</v>
      </c>
      <c r="J8" s="23">
        <f t="shared" si="0"/>
        <v>1.4063492063492062</v>
      </c>
    </row>
    <row r="9" spans="1:10" ht="31.5">
      <c r="A9" s="22">
        <v>7</v>
      </c>
      <c r="B9" s="9" t="s">
        <v>4</v>
      </c>
      <c r="C9" s="75">
        <v>13</v>
      </c>
      <c r="D9" s="75">
        <v>13</v>
      </c>
      <c r="E9" s="75"/>
      <c r="F9" s="74">
        <v>5</v>
      </c>
      <c r="G9" s="74">
        <v>4</v>
      </c>
      <c r="H9" s="74">
        <v>4</v>
      </c>
      <c r="I9" s="74">
        <v>90</v>
      </c>
      <c r="J9" s="23">
        <f t="shared" si="0"/>
        <v>1.3521367521367522</v>
      </c>
    </row>
    <row r="10" spans="1:10" ht="15.75">
      <c r="A10" s="22">
        <v>8</v>
      </c>
      <c r="B10" s="9" t="s">
        <v>10</v>
      </c>
      <c r="C10" s="75">
        <v>13</v>
      </c>
      <c r="D10" s="75">
        <v>14</v>
      </c>
      <c r="E10" s="75">
        <v>1</v>
      </c>
      <c r="F10" s="74">
        <v>5</v>
      </c>
      <c r="G10" s="74">
        <v>2</v>
      </c>
      <c r="H10" s="74">
        <v>5</v>
      </c>
      <c r="I10" s="74">
        <v>90</v>
      </c>
      <c r="J10" s="23">
        <f t="shared" si="0"/>
        <v>1.3269841269841269</v>
      </c>
    </row>
    <row r="11" spans="1:10" ht="15.75">
      <c r="A11" s="22">
        <v>9</v>
      </c>
      <c r="B11" s="9" t="s">
        <v>29</v>
      </c>
      <c r="C11" s="75">
        <v>7</v>
      </c>
      <c r="D11" s="75">
        <v>9</v>
      </c>
      <c r="E11" s="75"/>
      <c r="F11" s="74">
        <v>5</v>
      </c>
      <c r="G11" s="74">
        <v>4</v>
      </c>
      <c r="H11" s="74">
        <v>1</v>
      </c>
      <c r="I11" s="74">
        <v>90</v>
      </c>
      <c r="J11" s="23">
        <f t="shared" si="0"/>
        <v>1.2333333333333334</v>
      </c>
    </row>
    <row r="12" spans="1:10" ht="15.75">
      <c r="A12" s="22">
        <v>10</v>
      </c>
      <c r="B12" s="9" t="s">
        <v>19</v>
      </c>
      <c r="C12" s="105">
        <v>11</v>
      </c>
      <c r="D12" s="105">
        <v>13</v>
      </c>
      <c r="E12" s="75"/>
      <c r="F12" s="74">
        <v>5</v>
      </c>
      <c r="G12" s="74">
        <v>4</v>
      </c>
      <c r="H12" s="74">
        <v>5</v>
      </c>
      <c r="I12" s="74">
        <v>90</v>
      </c>
      <c r="J12" s="23">
        <f t="shared" si="0"/>
        <v>1.2094017094017093</v>
      </c>
    </row>
    <row r="13" spans="1:10" ht="15.75">
      <c r="A13" s="22">
        <v>11</v>
      </c>
      <c r="B13" s="9" t="s">
        <v>9</v>
      </c>
      <c r="C13" s="75">
        <v>9</v>
      </c>
      <c r="D13" s="75">
        <v>9</v>
      </c>
      <c r="E13" s="75"/>
      <c r="F13" s="74">
        <v>5</v>
      </c>
      <c r="G13" s="74">
        <v>1</v>
      </c>
      <c r="H13" s="74">
        <v>4</v>
      </c>
      <c r="I13" s="74">
        <v>90</v>
      </c>
      <c r="J13" s="23">
        <f t="shared" si="0"/>
        <v>1.1555555555555557</v>
      </c>
    </row>
    <row r="14" spans="1:10" ht="15.75">
      <c r="A14" s="22">
        <v>12</v>
      </c>
      <c r="B14" s="9" t="s">
        <v>181</v>
      </c>
      <c r="C14" s="75">
        <v>7</v>
      </c>
      <c r="D14" s="75">
        <v>8</v>
      </c>
      <c r="E14" s="75"/>
      <c r="F14" s="74">
        <v>5</v>
      </c>
      <c r="G14" s="74">
        <v>2</v>
      </c>
      <c r="H14" s="74">
        <v>1</v>
      </c>
      <c r="I14" s="74">
        <v>90</v>
      </c>
      <c r="J14" s="23">
        <f t="shared" si="0"/>
        <v>1.1361111111111111</v>
      </c>
    </row>
    <row r="15" spans="1:10" ht="15.75">
      <c r="A15" s="22">
        <v>13</v>
      </c>
      <c r="B15" s="9" t="s">
        <v>6</v>
      </c>
      <c r="C15" s="75">
        <v>9</v>
      </c>
      <c r="D15" s="75">
        <v>9</v>
      </c>
      <c r="E15" s="75"/>
      <c r="F15" s="74">
        <v>5</v>
      </c>
      <c r="G15" s="74">
        <v>1</v>
      </c>
      <c r="H15" s="74">
        <v>1</v>
      </c>
      <c r="I15" s="74">
        <v>90</v>
      </c>
      <c r="J15" s="23">
        <f t="shared" si="0"/>
        <v>1.1222222222222222</v>
      </c>
    </row>
    <row r="16" spans="1:10" ht="15.75">
      <c r="A16" s="22">
        <v>14</v>
      </c>
      <c r="B16" s="9" t="s">
        <v>15</v>
      </c>
      <c r="C16" s="75">
        <v>12</v>
      </c>
      <c r="D16" s="75">
        <v>13</v>
      </c>
      <c r="E16" s="75"/>
      <c r="F16" s="74">
        <v>5</v>
      </c>
      <c r="G16" s="74">
        <v>2</v>
      </c>
      <c r="H16" s="74">
        <v>1</v>
      </c>
      <c r="I16" s="74">
        <v>90</v>
      </c>
      <c r="J16" s="23">
        <f t="shared" si="0"/>
        <v>1.0880341880341882</v>
      </c>
    </row>
    <row r="17" spans="1:10" ht="15.75">
      <c r="A17" s="22">
        <v>15</v>
      </c>
      <c r="B17" s="9" t="s">
        <v>14</v>
      </c>
      <c r="C17" s="75">
        <v>19</v>
      </c>
      <c r="D17" s="75">
        <v>22</v>
      </c>
      <c r="E17" s="75">
        <v>1</v>
      </c>
      <c r="F17" s="74">
        <v>5</v>
      </c>
      <c r="G17" s="74"/>
      <c r="H17" s="74">
        <v>2</v>
      </c>
      <c r="I17" s="74">
        <v>90</v>
      </c>
      <c r="J17" s="23">
        <f t="shared" si="0"/>
        <v>1.0858585858585859</v>
      </c>
    </row>
    <row r="18" spans="1:10" ht="15.75">
      <c r="A18" s="22">
        <v>16</v>
      </c>
      <c r="B18" s="9" t="s">
        <v>12</v>
      </c>
      <c r="C18" s="75">
        <v>16</v>
      </c>
      <c r="D18" s="75">
        <v>17</v>
      </c>
      <c r="E18" s="75"/>
      <c r="F18" s="74">
        <v>5</v>
      </c>
      <c r="G18" s="74">
        <v>1</v>
      </c>
      <c r="H18" s="74">
        <v>3</v>
      </c>
      <c r="I18" s="74">
        <v>90</v>
      </c>
      <c r="J18" s="23">
        <f t="shared" si="0"/>
        <v>1.0333333333333334</v>
      </c>
    </row>
    <row r="19" spans="1:10" ht="15.75">
      <c r="A19" s="22">
        <v>17</v>
      </c>
      <c r="B19" s="9" t="s">
        <v>17</v>
      </c>
      <c r="C19" s="75">
        <v>5</v>
      </c>
      <c r="D19" s="75">
        <v>6</v>
      </c>
      <c r="E19" s="75"/>
      <c r="F19" s="74">
        <v>5</v>
      </c>
      <c r="G19" s="74">
        <v>1</v>
      </c>
      <c r="H19" s="74">
        <v>2</v>
      </c>
      <c r="I19" s="74">
        <v>90</v>
      </c>
      <c r="J19" s="23">
        <f t="shared" si="0"/>
        <v>1.0222222222222221</v>
      </c>
    </row>
    <row r="20" spans="1:10" ht="16.5" customHeight="1">
      <c r="A20" s="22">
        <v>18</v>
      </c>
      <c r="B20" s="9" t="s">
        <v>30</v>
      </c>
      <c r="C20" s="75">
        <v>5</v>
      </c>
      <c r="D20" s="75">
        <v>6</v>
      </c>
      <c r="E20" s="75"/>
      <c r="F20" s="74">
        <v>5</v>
      </c>
      <c r="G20" s="74">
        <v>1</v>
      </c>
      <c r="H20" s="74">
        <v>1</v>
      </c>
      <c r="I20" s="74">
        <v>90</v>
      </c>
      <c r="J20" s="23">
        <f t="shared" si="0"/>
        <v>1.0111111111111111</v>
      </c>
    </row>
    <row r="21" spans="1:10" ht="21.75" customHeight="1">
      <c r="A21" s="22">
        <v>19</v>
      </c>
      <c r="B21" s="9" t="s">
        <v>179</v>
      </c>
      <c r="C21" s="75">
        <v>13</v>
      </c>
      <c r="D21" s="75">
        <v>13</v>
      </c>
      <c r="E21" s="75"/>
      <c r="F21" s="74">
        <v>5</v>
      </c>
      <c r="G21" s="74"/>
      <c r="H21" s="74">
        <v>0</v>
      </c>
      <c r="I21" s="74">
        <v>90</v>
      </c>
      <c r="J21" s="23">
        <f t="shared" si="0"/>
        <v>1</v>
      </c>
    </row>
    <row r="22" spans="1:10" ht="15.75">
      <c r="A22" s="22">
        <v>20</v>
      </c>
      <c r="B22" s="9" t="s">
        <v>22</v>
      </c>
      <c r="C22" s="75">
        <v>8</v>
      </c>
      <c r="D22" s="75">
        <v>11</v>
      </c>
      <c r="E22" s="75"/>
      <c r="F22" s="74">
        <v>5</v>
      </c>
      <c r="G22" s="74">
        <v>2</v>
      </c>
      <c r="H22" s="74">
        <v>3</v>
      </c>
      <c r="I22" s="74">
        <v>90</v>
      </c>
      <c r="J22" s="23">
        <f t="shared" si="0"/>
        <v>0.9424242424242425</v>
      </c>
    </row>
    <row r="23" spans="1:10" ht="18.75" customHeight="1">
      <c r="A23" s="22">
        <v>21</v>
      </c>
      <c r="B23" s="9" t="s">
        <v>180</v>
      </c>
      <c r="C23" s="75">
        <v>9</v>
      </c>
      <c r="D23" s="75">
        <v>14</v>
      </c>
      <c r="E23" s="75">
        <v>1</v>
      </c>
      <c r="F23" s="74">
        <v>5</v>
      </c>
      <c r="G23" s="74">
        <v>1</v>
      </c>
      <c r="H23" s="74">
        <v>1</v>
      </c>
      <c r="I23" s="74">
        <v>90</v>
      </c>
      <c r="J23" s="23">
        <f t="shared" si="0"/>
        <v>0.92539682539682544</v>
      </c>
    </row>
    <row r="24" spans="1:10" ht="19.5" customHeight="1">
      <c r="A24" s="22">
        <v>22</v>
      </c>
      <c r="B24" s="133" t="s">
        <v>122</v>
      </c>
      <c r="C24" s="75">
        <v>18</v>
      </c>
      <c r="D24" s="75">
        <v>20</v>
      </c>
      <c r="E24" s="75"/>
      <c r="F24" s="74">
        <v>5</v>
      </c>
      <c r="G24" s="74"/>
      <c r="H24" s="74">
        <v>2</v>
      </c>
      <c r="I24" s="74">
        <v>90</v>
      </c>
      <c r="J24" s="23">
        <f t="shared" si="0"/>
        <v>0.92222222222222228</v>
      </c>
    </row>
    <row r="25" spans="1:10" ht="20.25" customHeight="1">
      <c r="A25" s="22">
        <v>23</v>
      </c>
      <c r="B25" s="9" t="s">
        <v>28</v>
      </c>
      <c r="C25" s="75">
        <v>10</v>
      </c>
      <c r="D25" s="75">
        <v>14</v>
      </c>
      <c r="E25" s="75"/>
      <c r="F25" s="74">
        <v>5</v>
      </c>
      <c r="G25" s="74">
        <v>2</v>
      </c>
      <c r="H25" s="74">
        <v>3</v>
      </c>
      <c r="I25" s="74">
        <v>90</v>
      </c>
      <c r="J25" s="23">
        <f t="shared" si="0"/>
        <v>0.89047619047619053</v>
      </c>
    </row>
    <row r="26" spans="1:10" ht="15.75">
      <c r="A26" s="22">
        <v>24</v>
      </c>
      <c r="B26" s="9" t="s">
        <v>11</v>
      </c>
      <c r="C26" s="75">
        <v>7</v>
      </c>
      <c r="D26" s="75">
        <v>8</v>
      </c>
      <c r="E26" s="75"/>
      <c r="F26" s="74">
        <v>5</v>
      </c>
      <c r="G26" s="74"/>
      <c r="H26" s="74">
        <v>1</v>
      </c>
      <c r="I26" s="74">
        <v>90</v>
      </c>
      <c r="J26" s="23">
        <f t="shared" si="0"/>
        <v>0.88611111111111107</v>
      </c>
    </row>
    <row r="27" spans="1:10" ht="15.75">
      <c r="A27" s="22">
        <v>25</v>
      </c>
      <c r="B27" s="9" t="s">
        <v>23</v>
      </c>
      <c r="C27" s="75">
        <v>5</v>
      </c>
      <c r="D27" s="75">
        <v>7</v>
      </c>
      <c r="E27" s="75"/>
      <c r="F27" s="74">
        <v>5</v>
      </c>
      <c r="G27" s="74">
        <v>1</v>
      </c>
      <c r="H27" s="74">
        <v>1</v>
      </c>
      <c r="I27" s="74">
        <v>90</v>
      </c>
      <c r="J27" s="23">
        <f t="shared" si="0"/>
        <v>0.86825396825396828</v>
      </c>
    </row>
    <row r="28" spans="1:10" ht="14.25" customHeight="1">
      <c r="A28" s="22">
        <v>26</v>
      </c>
      <c r="B28" s="9" t="s">
        <v>18</v>
      </c>
      <c r="C28" s="75">
        <v>15</v>
      </c>
      <c r="D28" s="75">
        <v>18</v>
      </c>
      <c r="E28" s="75"/>
      <c r="F28" s="74">
        <v>5</v>
      </c>
      <c r="G28" s="74"/>
      <c r="H28" s="74">
        <v>0</v>
      </c>
      <c r="I28" s="74">
        <v>90</v>
      </c>
      <c r="J28" s="23">
        <f t="shared" si="0"/>
        <v>0.83333333333333337</v>
      </c>
    </row>
    <row r="29" spans="1:10" ht="13.5" customHeight="1">
      <c r="A29" s="22">
        <v>27</v>
      </c>
      <c r="B29" s="9" t="s">
        <v>31</v>
      </c>
      <c r="C29" s="75">
        <v>6</v>
      </c>
      <c r="D29" s="75">
        <v>9</v>
      </c>
      <c r="E29" s="75"/>
      <c r="F29" s="74">
        <v>5</v>
      </c>
      <c r="G29" s="74">
        <v>1</v>
      </c>
      <c r="H29" s="74">
        <v>2</v>
      </c>
      <c r="I29" s="74">
        <v>90</v>
      </c>
      <c r="J29" s="23">
        <f t="shared" si="0"/>
        <v>0.79999999999999993</v>
      </c>
    </row>
    <row r="30" spans="1:10" ht="15.75">
      <c r="A30" s="22">
        <v>28</v>
      </c>
      <c r="B30" s="9" t="s">
        <v>27</v>
      </c>
      <c r="C30" s="75">
        <v>6</v>
      </c>
      <c r="D30" s="75">
        <v>8</v>
      </c>
      <c r="E30" s="75"/>
      <c r="F30" s="74">
        <v>5</v>
      </c>
      <c r="G30" s="74"/>
      <c r="H30" s="74">
        <v>3</v>
      </c>
      <c r="I30" s="74">
        <v>90</v>
      </c>
      <c r="J30" s="23">
        <f t="shared" si="0"/>
        <v>0.78333333333333333</v>
      </c>
    </row>
    <row r="31" spans="1:10" ht="17.25" customHeight="1">
      <c r="A31" s="22">
        <v>29</v>
      </c>
      <c r="B31" s="9" t="s">
        <v>24</v>
      </c>
      <c r="C31" s="75">
        <v>6</v>
      </c>
      <c r="D31" s="75">
        <v>8</v>
      </c>
      <c r="E31" s="75"/>
      <c r="F31" s="74">
        <v>5</v>
      </c>
      <c r="G31" s="74"/>
      <c r="H31" s="74">
        <v>1</v>
      </c>
      <c r="I31" s="74">
        <v>90</v>
      </c>
      <c r="J31" s="23">
        <f t="shared" si="0"/>
        <v>0.76111111111111107</v>
      </c>
    </row>
    <row r="32" spans="1:10" ht="15.75">
      <c r="A32" s="22">
        <v>30</v>
      </c>
      <c r="B32" s="9" t="s">
        <v>104</v>
      </c>
      <c r="C32" s="75">
        <v>5</v>
      </c>
      <c r="D32" s="75">
        <v>7</v>
      </c>
      <c r="E32" s="75"/>
      <c r="F32" s="74">
        <v>5</v>
      </c>
      <c r="G32" s="74"/>
      <c r="H32" s="74">
        <v>0</v>
      </c>
      <c r="I32" s="74">
        <v>90</v>
      </c>
      <c r="J32" s="23">
        <f t="shared" si="0"/>
        <v>0.7142857142857143</v>
      </c>
    </row>
    <row r="33" spans="1:10" ht="15.75">
      <c r="A33" s="22">
        <v>31</v>
      </c>
      <c r="B33" s="9" t="s">
        <v>32</v>
      </c>
      <c r="C33" s="75">
        <v>1</v>
      </c>
      <c r="D33" s="75">
        <v>5</v>
      </c>
      <c r="E33" s="75"/>
      <c r="F33" s="74">
        <v>5</v>
      </c>
      <c r="G33" s="74"/>
      <c r="H33" s="74">
        <v>0</v>
      </c>
      <c r="I33" s="74">
        <v>90</v>
      </c>
      <c r="J33" s="23">
        <f t="shared" si="0"/>
        <v>0.2</v>
      </c>
    </row>
    <row r="34" spans="1:10" ht="15.75">
      <c r="A34" s="20"/>
      <c r="B34" s="19" t="s">
        <v>49</v>
      </c>
      <c r="C34" s="82">
        <f>SUM(C3:C33)</f>
        <v>312</v>
      </c>
      <c r="D34" s="82">
        <f>SUM(D3:D33)</f>
        <v>371</v>
      </c>
      <c r="E34" s="95">
        <f>SUM(E3:E33)</f>
        <v>5</v>
      </c>
      <c r="F34" s="94"/>
      <c r="G34" s="31">
        <f>SUM(G3:G33)</f>
        <v>74</v>
      </c>
      <c r="H34" s="31">
        <f>SUM(H3:H33)</f>
        <v>90</v>
      </c>
      <c r="I34" s="15"/>
      <c r="J34" s="15"/>
    </row>
    <row r="35" spans="1:10" ht="15.75">
      <c r="A35" s="129"/>
      <c r="B35" s="122"/>
      <c r="C35" s="120"/>
      <c r="D35" s="120"/>
      <c r="E35" s="118"/>
      <c r="F35" s="130"/>
      <c r="G35" s="131"/>
      <c r="H35" s="131"/>
      <c r="I35" s="126"/>
      <c r="J35" s="126"/>
    </row>
    <row r="36" spans="1:10" ht="40.5">
      <c r="A36" s="107"/>
      <c r="B36" s="108" t="s">
        <v>40</v>
      </c>
      <c r="C36" s="109"/>
      <c r="D36" s="109"/>
      <c r="E36" s="109"/>
      <c r="F36" s="107"/>
      <c r="G36" s="107"/>
      <c r="H36" s="107"/>
      <c r="I36" s="107"/>
      <c r="J36" s="107"/>
    </row>
    <row r="37" spans="1:10" ht="237" customHeight="1">
      <c r="A37" s="43" t="s">
        <v>126</v>
      </c>
      <c r="B37" s="55" t="s">
        <v>119</v>
      </c>
      <c r="C37" s="54" t="s">
        <v>69</v>
      </c>
      <c r="D37" s="54" t="s">
        <v>70</v>
      </c>
      <c r="E37" s="54" t="s">
        <v>74</v>
      </c>
      <c r="F37" s="54" t="s">
        <v>71</v>
      </c>
      <c r="G37" s="54" t="s">
        <v>72</v>
      </c>
      <c r="H37" s="54" t="s">
        <v>73</v>
      </c>
      <c r="I37" s="54" t="s">
        <v>75</v>
      </c>
      <c r="J37" s="54" t="s">
        <v>120</v>
      </c>
    </row>
    <row r="38" spans="1:10" ht="15.75">
      <c r="A38" s="43">
        <v>1</v>
      </c>
      <c r="B38" s="3" t="s">
        <v>33</v>
      </c>
      <c r="C38" s="25">
        <v>77</v>
      </c>
      <c r="D38" s="25">
        <v>85</v>
      </c>
      <c r="E38" s="25">
        <v>1</v>
      </c>
      <c r="F38" s="28">
        <v>5</v>
      </c>
      <c r="G38" s="28">
        <v>18</v>
      </c>
      <c r="H38" s="28">
        <v>28</v>
      </c>
      <c r="I38" s="28">
        <v>90</v>
      </c>
      <c r="J38" s="23">
        <f>C38/D38+E38/F38+G38/D38+H38/I38</f>
        <v>1.6287581699346405</v>
      </c>
    </row>
    <row r="39" spans="1:10" ht="15.75">
      <c r="A39" s="43">
        <v>2</v>
      </c>
      <c r="B39" s="3" t="s">
        <v>34</v>
      </c>
      <c r="C39" s="25">
        <v>94</v>
      </c>
      <c r="D39" s="25">
        <v>112</v>
      </c>
      <c r="E39" s="25">
        <v>2</v>
      </c>
      <c r="F39" s="28">
        <v>5</v>
      </c>
      <c r="G39" s="28">
        <v>17</v>
      </c>
      <c r="H39" s="28">
        <v>17</v>
      </c>
      <c r="I39" s="28">
        <v>90</v>
      </c>
      <c r="J39" s="23">
        <f t="shared" ref="J39:J41" si="1">C39/D39+E39/F39+G39/D39+H39/I39</f>
        <v>1.5799603174603174</v>
      </c>
    </row>
    <row r="40" spans="1:10" ht="31.5">
      <c r="A40" s="43">
        <v>3</v>
      </c>
      <c r="B40" s="3" t="s">
        <v>35</v>
      </c>
      <c r="C40" s="25">
        <v>65</v>
      </c>
      <c r="D40" s="25">
        <v>80</v>
      </c>
      <c r="E40" s="25">
        <v>1</v>
      </c>
      <c r="F40" s="28">
        <v>5</v>
      </c>
      <c r="G40" s="28">
        <v>21</v>
      </c>
      <c r="H40" s="28">
        <v>22</v>
      </c>
      <c r="I40" s="28">
        <v>90</v>
      </c>
      <c r="J40" s="23">
        <f t="shared" si="1"/>
        <v>1.5194444444444444</v>
      </c>
    </row>
    <row r="41" spans="1:10" ht="31.5">
      <c r="A41" s="43">
        <v>4</v>
      </c>
      <c r="B41" s="3" t="s">
        <v>36</v>
      </c>
      <c r="C41" s="25">
        <v>76</v>
      </c>
      <c r="D41" s="25">
        <v>94</v>
      </c>
      <c r="E41" s="25">
        <v>1</v>
      </c>
      <c r="F41" s="28">
        <v>5</v>
      </c>
      <c r="G41" s="28">
        <v>18</v>
      </c>
      <c r="H41" s="28">
        <v>23</v>
      </c>
      <c r="I41" s="28">
        <v>90</v>
      </c>
      <c r="J41" s="23">
        <f t="shared" si="1"/>
        <v>1.4555555555555555</v>
      </c>
    </row>
    <row r="42" spans="1:10" ht="15.75">
      <c r="A42" s="20"/>
      <c r="B42" s="20"/>
      <c r="C42" s="139">
        <f>SUM(C38:C41)</f>
        <v>312</v>
      </c>
      <c r="D42" s="139">
        <f>SUM(D38:D41)</f>
        <v>371</v>
      </c>
      <c r="E42" s="31">
        <f>SUM(E38:E41)</f>
        <v>5</v>
      </c>
      <c r="F42" s="160"/>
      <c r="G42" s="31">
        <f>SUM(G38:G41)</f>
        <v>74</v>
      </c>
      <c r="H42" s="31">
        <f>SUM(H38:H41)</f>
        <v>90</v>
      </c>
      <c r="I42" s="20"/>
      <c r="J42" s="20"/>
    </row>
    <row r="43" spans="1:10" ht="15.75">
      <c r="C43" s="5"/>
    </row>
    <row r="44" spans="1:10" ht="15.75">
      <c r="B44" s="151"/>
      <c r="C44" s="152"/>
    </row>
    <row r="45" spans="1:10" ht="15.75">
      <c r="B45" s="137"/>
      <c r="C45" s="152"/>
    </row>
    <row r="46" spans="1:10" ht="15.75">
      <c r="B46" s="137"/>
      <c r="C46" s="152"/>
    </row>
    <row r="47" spans="1:10" ht="15.75">
      <c r="B47" s="137"/>
      <c r="C47" s="152"/>
    </row>
    <row r="48" spans="1:10">
      <c r="B48" s="137"/>
      <c r="C48" s="136"/>
    </row>
    <row r="49" spans="2:2">
      <c r="B49" s="137"/>
    </row>
  </sheetData>
  <sortState ref="B3:J33">
    <sortCondition descending="1" ref="J38:J41"/>
  </sortState>
  <phoneticPr fontId="0" type="noConversion"/>
  <pageMargins left="0.41" right="0.27" top="0.27" bottom="0.09" header="0.2" footer="0.15"/>
  <pageSetup paperSize="9" scale="68" orientation="landscape" verticalDpi="300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>
      <selection sqref="A1:H28"/>
    </sheetView>
  </sheetViews>
  <sheetFormatPr defaultRowHeight="12.75"/>
  <cols>
    <col min="1" max="1" width="6.7109375" customWidth="1"/>
    <col min="2" max="2" width="51.140625" customWidth="1"/>
    <col min="3" max="3" width="14.85546875" customWidth="1"/>
    <col min="4" max="4" width="20.5703125" customWidth="1"/>
    <col min="5" max="5" width="20.42578125" customWidth="1"/>
    <col min="6" max="6" width="24.85546875" bestFit="1" customWidth="1"/>
    <col min="7" max="7" width="13" customWidth="1"/>
    <col min="8" max="8" width="13.42578125" customWidth="1"/>
  </cols>
  <sheetData>
    <row r="1" spans="1:8" ht="43.5" customHeight="1">
      <c r="A1" s="2"/>
      <c r="B1" s="58" t="s">
        <v>116</v>
      </c>
      <c r="C1" s="2"/>
      <c r="D1" s="2"/>
      <c r="E1" s="2"/>
      <c r="F1" s="2"/>
      <c r="G1" s="2"/>
      <c r="H1" s="2"/>
    </row>
    <row r="2" spans="1:8" ht="110.25" customHeight="1">
      <c r="A2" s="43" t="s">
        <v>130</v>
      </c>
      <c r="B2" s="59" t="s">
        <v>0</v>
      </c>
      <c r="C2" s="59" t="s">
        <v>64</v>
      </c>
      <c r="D2" s="59" t="s">
        <v>78</v>
      </c>
      <c r="E2" s="59" t="s">
        <v>81</v>
      </c>
      <c r="F2" s="59" t="s">
        <v>100</v>
      </c>
      <c r="G2" s="59" t="s">
        <v>89</v>
      </c>
      <c r="H2" s="60" t="s">
        <v>90</v>
      </c>
    </row>
    <row r="3" spans="1:8" ht="22.5" customHeight="1">
      <c r="A3" s="43">
        <v>1</v>
      </c>
      <c r="B3" s="3" t="s">
        <v>14</v>
      </c>
      <c r="C3" s="23">
        <v>0.37</v>
      </c>
      <c r="D3" s="35">
        <v>0.34</v>
      </c>
      <c r="E3" s="53">
        <v>0.14099999999999999</v>
      </c>
      <c r="F3" s="53">
        <v>9.9000000000000005E-2</v>
      </c>
      <c r="G3" s="23">
        <v>0.14000000000000001</v>
      </c>
      <c r="H3" s="35">
        <f t="shared" ref="H3:H28" si="0">C3+D3+E3+F3+G3</f>
        <v>1.0899999999999999</v>
      </c>
    </row>
    <row r="4" spans="1:8" ht="17.25" customHeight="1">
      <c r="A4" s="43">
        <v>2</v>
      </c>
      <c r="B4" s="9" t="s">
        <v>17</v>
      </c>
      <c r="C4" s="23">
        <v>1</v>
      </c>
      <c r="D4" s="35">
        <v>0.01</v>
      </c>
      <c r="E4" s="53">
        <v>2E-3</v>
      </c>
      <c r="F4" s="53">
        <v>0</v>
      </c>
      <c r="G4" s="23">
        <v>0</v>
      </c>
      <c r="H4" s="35">
        <f t="shared" si="0"/>
        <v>1.012</v>
      </c>
    </row>
    <row r="5" spans="1:8" ht="16.5" customHeight="1">
      <c r="A5" s="43">
        <v>3</v>
      </c>
      <c r="B5" s="3" t="s">
        <v>122</v>
      </c>
      <c r="C5" s="23">
        <v>0.51</v>
      </c>
      <c r="D5" s="35">
        <v>0.15</v>
      </c>
      <c r="E5" s="53">
        <v>4.9000000000000002E-2</v>
      </c>
      <c r="F5" s="53">
        <v>0.03</v>
      </c>
      <c r="G5" s="23">
        <v>0.24</v>
      </c>
      <c r="H5" s="35">
        <f t="shared" si="0"/>
        <v>0.97900000000000009</v>
      </c>
    </row>
    <row r="6" spans="1:8" ht="16.5" customHeight="1">
      <c r="A6" s="43">
        <v>4</v>
      </c>
      <c r="B6" s="3" t="s">
        <v>25</v>
      </c>
      <c r="C6" s="23">
        <v>0.28000000000000003</v>
      </c>
      <c r="D6" s="35">
        <v>0.34</v>
      </c>
      <c r="E6" s="53">
        <v>9.5000000000000001E-2</v>
      </c>
      <c r="F6" s="53">
        <v>4.9000000000000002E-2</v>
      </c>
      <c r="G6" s="23">
        <v>0.1</v>
      </c>
      <c r="H6" s="35">
        <f t="shared" si="0"/>
        <v>0.8640000000000001</v>
      </c>
    </row>
    <row r="7" spans="1:8" ht="16.5" customHeight="1">
      <c r="A7" s="43">
        <v>5</v>
      </c>
      <c r="B7" s="3" t="s">
        <v>26</v>
      </c>
      <c r="C7" s="23">
        <v>0.41</v>
      </c>
      <c r="D7" s="35">
        <v>0.22</v>
      </c>
      <c r="E7" s="53">
        <v>8.4000000000000005E-2</v>
      </c>
      <c r="F7" s="53">
        <v>5.2999999999999999E-2</v>
      </c>
      <c r="G7" s="23">
        <v>0.09</v>
      </c>
      <c r="H7" s="35">
        <f t="shared" si="0"/>
        <v>0.85699999999999998</v>
      </c>
    </row>
    <row r="8" spans="1:8" ht="30" customHeight="1">
      <c r="A8" s="43">
        <v>6</v>
      </c>
      <c r="B8" s="3" t="s">
        <v>5</v>
      </c>
      <c r="C8" s="23">
        <v>0.57999999999999996</v>
      </c>
      <c r="D8" s="35">
        <v>0.04</v>
      </c>
      <c r="E8" s="53">
        <v>2.9000000000000001E-2</v>
      </c>
      <c r="F8" s="53">
        <v>2.1999999999999999E-2</v>
      </c>
      <c r="G8" s="23">
        <v>0.16</v>
      </c>
      <c r="H8" s="35">
        <f t="shared" si="0"/>
        <v>0.83100000000000007</v>
      </c>
    </row>
    <row r="9" spans="1:8" ht="16.5" customHeight="1">
      <c r="A9" s="43">
        <v>7</v>
      </c>
      <c r="B9" s="3" t="s">
        <v>21</v>
      </c>
      <c r="C9" s="23">
        <v>0.63</v>
      </c>
      <c r="D9" s="35">
        <v>0.03</v>
      </c>
      <c r="E9" s="53">
        <v>3.3000000000000002E-2</v>
      </c>
      <c r="F9" s="53">
        <v>2.8000000000000001E-2</v>
      </c>
      <c r="G9" s="23">
        <v>0.11</v>
      </c>
      <c r="H9" s="35">
        <f t="shared" si="0"/>
        <v>0.83100000000000007</v>
      </c>
    </row>
    <row r="10" spans="1:8" ht="16.5" customHeight="1">
      <c r="A10" s="43">
        <v>8</v>
      </c>
      <c r="B10" s="3" t="s">
        <v>19</v>
      </c>
      <c r="C10" s="23">
        <v>0.28999999999999998</v>
      </c>
      <c r="D10" s="35">
        <v>0.28999999999999998</v>
      </c>
      <c r="E10" s="53">
        <v>7.2999999999999995E-2</v>
      </c>
      <c r="F10" s="53">
        <v>3.5999999999999997E-2</v>
      </c>
      <c r="G10" s="23">
        <v>0.08</v>
      </c>
      <c r="H10" s="35">
        <f t="shared" si="0"/>
        <v>0.76899999999999991</v>
      </c>
    </row>
    <row r="11" spans="1:8" ht="31.5" customHeight="1">
      <c r="A11" s="43">
        <v>9</v>
      </c>
      <c r="B11" s="3" t="s">
        <v>24</v>
      </c>
      <c r="C11" s="23">
        <v>0.61</v>
      </c>
      <c r="D11" s="35">
        <v>7.0000000000000007E-2</v>
      </c>
      <c r="E11" s="53">
        <v>1.7999999999999999E-2</v>
      </c>
      <c r="F11" s="53">
        <v>8.0000000000000002E-3</v>
      </c>
      <c r="G11" s="23">
        <v>0.06</v>
      </c>
      <c r="H11" s="35">
        <f t="shared" si="0"/>
        <v>0.76600000000000001</v>
      </c>
    </row>
    <row r="12" spans="1:8" ht="18.75" customHeight="1">
      <c r="A12" s="43">
        <v>10</v>
      </c>
      <c r="B12" s="3" t="s">
        <v>15</v>
      </c>
      <c r="C12" s="23">
        <v>0.46</v>
      </c>
      <c r="D12" s="35">
        <v>0.11</v>
      </c>
      <c r="E12" s="53">
        <v>4.1000000000000002E-2</v>
      </c>
      <c r="F12" s="53">
        <v>2.7E-2</v>
      </c>
      <c r="G12" s="23">
        <v>0.11</v>
      </c>
      <c r="H12" s="35">
        <f t="shared" si="0"/>
        <v>0.74800000000000011</v>
      </c>
    </row>
    <row r="13" spans="1:8" ht="16.5" customHeight="1">
      <c r="A13" s="43">
        <v>11</v>
      </c>
      <c r="B13" s="3" t="s">
        <v>13</v>
      </c>
      <c r="C13" s="23">
        <v>0.38</v>
      </c>
      <c r="D13" s="35">
        <v>0.16</v>
      </c>
      <c r="E13" s="53">
        <v>7.8E-2</v>
      </c>
      <c r="F13" s="53">
        <v>5.5E-2</v>
      </c>
      <c r="G13" s="23">
        <v>0.06</v>
      </c>
      <c r="H13" s="35">
        <f t="shared" si="0"/>
        <v>0.7330000000000001</v>
      </c>
    </row>
    <row r="14" spans="1:8" ht="16.5" customHeight="1">
      <c r="A14" s="43">
        <v>12</v>
      </c>
      <c r="B14" s="3" t="s">
        <v>29</v>
      </c>
      <c r="C14" s="23">
        <v>0.41</v>
      </c>
      <c r="D14" s="35">
        <v>0.11</v>
      </c>
      <c r="E14" s="53">
        <v>3.1E-2</v>
      </c>
      <c r="F14" s="53">
        <v>1.4E-2</v>
      </c>
      <c r="G14" s="23">
        <v>0.16</v>
      </c>
      <c r="H14" s="35">
        <f t="shared" si="0"/>
        <v>0.72500000000000009</v>
      </c>
    </row>
    <row r="15" spans="1:8" ht="31.5">
      <c r="A15" s="43">
        <v>13</v>
      </c>
      <c r="B15" s="3" t="s">
        <v>20</v>
      </c>
      <c r="C15" s="23">
        <v>0.41</v>
      </c>
      <c r="D15" s="35">
        <v>0.12</v>
      </c>
      <c r="E15" s="53">
        <v>3.1E-2</v>
      </c>
      <c r="F15" s="53">
        <v>1.4999999999999999E-2</v>
      </c>
      <c r="G15" s="23">
        <v>0.14000000000000001</v>
      </c>
      <c r="H15" s="35">
        <f t="shared" si="0"/>
        <v>0.71600000000000008</v>
      </c>
    </row>
    <row r="16" spans="1:8" ht="15.75">
      <c r="A16" s="43">
        <v>14</v>
      </c>
      <c r="B16" s="3" t="s">
        <v>31</v>
      </c>
      <c r="C16" s="23">
        <v>0.34</v>
      </c>
      <c r="D16" s="35">
        <v>0.19</v>
      </c>
      <c r="E16" s="53">
        <v>3.1E-2</v>
      </c>
      <c r="F16" s="53">
        <v>0.01</v>
      </c>
      <c r="G16" s="23">
        <v>0.12</v>
      </c>
      <c r="H16" s="35">
        <f t="shared" si="0"/>
        <v>0.69100000000000006</v>
      </c>
    </row>
    <row r="17" spans="1:8" ht="16.5" customHeight="1">
      <c r="A17" s="43">
        <v>15</v>
      </c>
      <c r="B17" s="3" t="s">
        <v>12</v>
      </c>
      <c r="C17" s="23">
        <v>0.31</v>
      </c>
      <c r="D17" s="35">
        <v>0.14000000000000001</v>
      </c>
      <c r="E17" s="53">
        <v>4.2999999999999997E-2</v>
      </c>
      <c r="F17" s="53">
        <v>2.4E-2</v>
      </c>
      <c r="G17" s="23">
        <v>0.14000000000000001</v>
      </c>
      <c r="H17" s="35">
        <f t="shared" si="0"/>
        <v>0.65700000000000003</v>
      </c>
    </row>
    <row r="18" spans="1:8" ht="17.25" customHeight="1">
      <c r="A18" s="43">
        <v>16</v>
      </c>
      <c r="B18" s="3" t="s">
        <v>11</v>
      </c>
      <c r="C18" s="23">
        <v>0.19</v>
      </c>
      <c r="D18" s="35">
        <v>0.24</v>
      </c>
      <c r="E18" s="53">
        <v>6.4000000000000001E-2</v>
      </c>
      <c r="F18" s="53">
        <v>3.2000000000000001E-2</v>
      </c>
      <c r="G18" s="23">
        <v>0.11</v>
      </c>
      <c r="H18" s="35">
        <f t="shared" si="0"/>
        <v>0.63600000000000001</v>
      </c>
    </row>
    <row r="19" spans="1:8" ht="15.75">
      <c r="A19" s="43">
        <v>17</v>
      </c>
      <c r="B19" s="3" t="s">
        <v>8</v>
      </c>
      <c r="C19" s="23">
        <v>0.34</v>
      </c>
      <c r="D19" s="35">
        <v>0.05</v>
      </c>
      <c r="E19" s="53">
        <v>5.3999999999999999E-2</v>
      </c>
      <c r="F19" s="53">
        <v>4.7E-2</v>
      </c>
      <c r="G19" s="23">
        <v>0.13</v>
      </c>
      <c r="H19" s="35">
        <f t="shared" si="0"/>
        <v>0.621</v>
      </c>
    </row>
    <row r="20" spans="1:8" ht="20.25" customHeight="1">
      <c r="A20" s="43">
        <v>18</v>
      </c>
      <c r="B20" s="3" t="s">
        <v>28</v>
      </c>
      <c r="C20" s="23">
        <v>0.27</v>
      </c>
      <c r="D20" s="35">
        <v>0.17</v>
      </c>
      <c r="E20" s="53">
        <v>5.1999999999999998E-2</v>
      </c>
      <c r="F20" s="53">
        <v>3.1E-2</v>
      </c>
      <c r="G20" s="23">
        <v>7.0000000000000007E-2</v>
      </c>
      <c r="H20" s="35">
        <f t="shared" si="0"/>
        <v>0.59299999999999997</v>
      </c>
    </row>
    <row r="21" spans="1:8" ht="20.25" customHeight="1">
      <c r="A21" s="43">
        <v>19</v>
      </c>
      <c r="B21" s="9" t="s">
        <v>10</v>
      </c>
      <c r="C21" s="23">
        <v>0.23</v>
      </c>
      <c r="D21" s="35">
        <v>7.0000000000000007E-2</v>
      </c>
      <c r="E21" s="53">
        <v>3.4000000000000002E-2</v>
      </c>
      <c r="F21" s="53">
        <v>2.4E-2</v>
      </c>
      <c r="G21" s="23">
        <v>0.17</v>
      </c>
      <c r="H21" s="35">
        <f t="shared" si="0"/>
        <v>0.52800000000000014</v>
      </c>
    </row>
    <row r="22" spans="1:8" ht="16.5" customHeight="1">
      <c r="A22" s="43">
        <v>20</v>
      </c>
      <c r="B22" s="3" t="s">
        <v>27</v>
      </c>
      <c r="C22" s="35">
        <v>0.32</v>
      </c>
      <c r="D22" s="35">
        <v>0.01</v>
      </c>
      <c r="E22" s="52">
        <v>1.2E-2</v>
      </c>
      <c r="F22" s="52">
        <v>0.01</v>
      </c>
      <c r="G22" s="35">
        <v>0.16</v>
      </c>
      <c r="H22" s="35">
        <f t="shared" si="0"/>
        <v>0.51200000000000001</v>
      </c>
    </row>
    <row r="23" spans="1:8" ht="16.5" customHeight="1">
      <c r="A23" s="43">
        <v>21</v>
      </c>
      <c r="B23" s="3" t="s">
        <v>9</v>
      </c>
      <c r="C23" s="23">
        <v>0.32</v>
      </c>
      <c r="D23" s="35">
        <v>0.03</v>
      </c>
      <c r="E23" s="53">
        <v>2.1999999999999999E-2</v>
      </c>
      <c r="F23" s="53">
        <v>1.7000000000000001E-2</v>
      </c>
      <c r="G23" s="23">
        <v>0.09</v>
      </c>
      <c r="H23" s="35">
        <f t="shared" si="0"/>
        <v>0.47899999999999998</v>
      </c>
    </row>
    <row r="24" spans="1:8" ht="31.5">
      <c r="A24" s="43">
        <v>22</v>
      </c>
      <c r="B24" s="3" t="s">
        <v>4</v>
      </c>
      <c r="C24" s="23">
        <v>0.27</v>
      </c>
      <c r="D24" s="35">
        <v>0.02</v>
      </c>
      <c r="E24" s="53">
        <v>0.03</v>
      </c>
      <c r="F24" s="53">
        <v>2.7E-2</v>
      </c>
      <c r="G24" s="23">
        <v>7.0000000000000007E-2</v>
      </c>
      <c r="H24" s="35">
        <f t="shared" si="0"/>
        <v>0.41700000000000009</v>
      </c>
    </row>
    <row r="25" spans="1:8" s="10" customFormat="1" ht="15.75">
      <c r="A25" s="43">
        <v>23</v>
      </c>
      <c r="B25" s="3" t="s">
        <v>103</v>
      </c>
      <c r="C25" s="23">
        <v>0.22</v>
      </c>
      <c r="D25" s="35">
        <v>0.02</v>
      </c>
      <c r="E25" s="53">
        <v>1.9E-2</v>
      </c>
      <c r="F25" s="53">
        <v>1.6E-2</v>
      </c>
      <c r="G25" s="23">
        <v>0.11</v>
      </c>
      <c r="H25" s="35">
        <f t="shared" si="0"/>
        <v>0.38500000000000001</v>
      </c>
    </row>
    <row r="26" spans="1:8" ht="16.5" customHeight="1">
      <c r="A26" s="43">
        <v>24</v>
      </c>
      <c r="B26" s="3" t="s">
        <v>6</v>
      </c>
      <c r="C26" s="23">
        <v>0.2</v>
      </c>
      <c r="D26" s="35">
        <v>0.02</v>
      </c>
      <c r="E26" s="53">
        <v>2.8000000000000001E-2</v>
      </c>
      <c r="F26" s="53">
        <v>2.5000000000000001E-2</v>
      </c>
      <c r="G26" s="23">
        <v>0.11</v>
      </c>
      <c r="H26" s="35">
        <f t="shared" si="0"/>
        <v>0.38300000000000001</v>
      </c>
    </row>
    <row r="27" spans="1:8" ht="33" customHeight="1">
      <c r="A27" s="43">
        <v>25</v>
      </c>
      <c r="B27" s="3" t="s">
        <v>7</v>
      </c>
      <c r="C27" s="23">
        <v>0</v>
      </c>
      <c r="D27" s="35">
        <v>0.05</v>
      </c>
      <c r="E27" s="53">
        <v>1.9E-2</v>
      </c>
      <c r="F27" s="53">
        <v>1.4999999999999999E-2</v>
      </c>
      <c r="G27" s="23">
        <v>0.11</v>
      </c>
      <c r="H27" s="35">
        <f t="shared" si="0"/>
        <v>0.19400000000000001</v>
      </c>
    </row>
    <row r="28" spans="1:8" ht="20.25" customHeight="1">
      <c r="A28" s="43">
        <v>26</v>
      </c>
      <c r="B28" s="102" t="s">
        <v>22</v>
      </c>
      <c r="C28" s="23">
        <v>0</v>
      </c>
      <c r="D28" s="35">
        <v>0.01</v>
      </c>
      <c r="E28" s="53">
        <v>8.9999999999999993E-3</v>
      </c>
      <c r="F28" s="53">
        <v>8.0000000000000002E-3</v>
      </c>
      <c r="G28" s="23">
        <v>0</v>
      </c>
      <c r="H28" s="35">
        <f t="shared" si="0"/>
        <v>2.7E-2</v>
      </c>
    </row>
    <row r="29" spans="1:8" ht="43.5" customHeight="1">
      <c r="A29" s="110"/>
      <c r="B29" s="108" t="s">
        <v>117</v>
      </c>
      <c r="C29" s="110"/>
      <c r="D29" s="110"/>
      <c r="E29" s="110"/>
      <c r="F29" s="110"/>
      <c r="G29" s="110"/>
      <c r="H29" s="110"/>
    </row>
    <row r="30" spans="1:8" ht="127.5" customHeight="1">
      <c r="A30" s="43" t="s">
        <v>92</v>
      </c>
      <c r="B30" s="59" t="s">
        <v>41</v>
      </c>
      <c r="C30" s="59" t="s">
        <v>64</v>
      </c>
      <c r="D30" s="59" t="s">
        <v>78</v>
      </c>
      <c r="E30" s="59" t="s">
        <v>81</v>
      </c>
      <c r="F30" s="59" t="s">
        <v>100</v>
      </c>
      <c r="G30" s="59" t="s">
        <v>89</v>
      </c>
      <c r="H30" s="60" t="s">
        <v>90</v>
      </c>
    </row>
    <row r="31" spans="1:8" ht="18" customHeight="1">
      <c r="A31" s="46">
        <v>1</v>
      </c>
      <c r="B31" s="3" t="s">
        <v>34</v>
      </c>
      <c r="C31" s="23">
        <v>0.35</v>
      </c>
      <c r="D31" s="35">
        <v>1.1000000000000001</v>
      </c>
      <c r="E31" s="23">
        <v>0.39</v>
      </c>
      <c r="F31" s="23">
        <v>0.3</v>
      </c>
      <c r="G31" s="23">
        <v>0.45</v>
      </c>
      <c r="H31" s="35">
        <f>C31+D31+E31+F31+G31</f>
        <v>2.5900000000000003</v>
      </c>
    </row>
    <row r="32" spans="1:8" ht="30" customHeight="1">
      <c r="A32" s="46">
        <v>2</v>
      </c>
      <c r="B32" s="3" t="s">
        <v>36</v>
      </c>
      <c r="C32" s="23">
        <v>0.26</v>
      </c>
      <c r="D32" s="35">
        <v>1</v>
      </c>
      <c r="E32" s="23">
        <v>0.28999999999999998</v>
      </c>
      <c r="F32" s="23">
        <v>0.16</v>
      </c>
      <c r="G32" s="23">
        <v>0.21</v>
      </c>
      <c r="H32" s="35">
        <f>C32+D32+E32+F32+G32</f>
        <v>1.92</v>
      </c>
    </row>
    <row r="33" spans="1:8" ht="30" customHeight="1">
      <c r="A33" s="46">
        <v>3</v>
      </c>
      <c r="B33" s="3" t="s">
        <v>35</v>
      </c>
      <c r="C33" s="23">
        <v>0.47</v>
      </c>
      <c r="D33" s="35">
        <v>0.7</v>
      </c>
      <c r="E33" s="23">
        <v>0.24</v>
      </c>
      <c r="F33" s="23">
        <v>0.12</v>
      </c>
      <c r="G33" s="23">
        <v>0.2</v>
      </c>
      <c r="H33" s="35">
        <f>C33+D33+E33+F33+G33</f>
        <v>1.7299999999999998</v>
      </c>
    </row>
    <row r="34" spans="1:8" ht="18" customHeight="1">
      <c r="A34" s="46">
        <v>4</v>
      </c>
      <c r="B34" s="3" t="s">
        <v>33</v>
      </c>
      <c r="C34" s="23">
        <v>0.26</v>
      </c>
      <c r="D34" s="35">
        <v>0.2</v>
      </c>
      <c r="E34" s="23">
        <v>0.21</v>
      </c>
      <c r="F34" s="23">
        <v>0.18</v>
      </c>
      <c r="G34" s="23">
        <v>0.42</v>
      </c>
      <c r="H34" s="35">
        <f>C34+D34+E34+F34+G34</f>
        <v>1.27</v>
      </c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36.75" customHeight="1">
      <c r="A36" s="2"/>
      <c r="B36" s="2"/>
      <c r="C36" s="2"/>
      <c r="D36" s="2"/>
      <c r="E36" s="2"/>
      <c r="F36" s="2"/>
      <c r="G36" s="2"/>
      <c r="H36" s="2"/>
    </row>
  </sheetData>
  <sortState ref="B3:H28">
    <sortCondition descending="1" ref="H3:H28"/>
  </sortState>
  <phoneticPr fontId="5" type="noConversion"/>
  <pageMargins left="0.37" right="0.18" top="0.23" bottom="0.28000000000000003" header="0.2" footer="0.2"/>
  <pageSetup paperSize="9" scale="85" orientation="landscape" horizontalDpi="300" verticalDpi="300" r:id="rId1"/>
  <headerFooter alignWithMargins="0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="85" zoomScaleNormal="85" workbookViewId="0">
      <selection activeCell="B3" sqref="B3"/>
    </sheetView>
  </sheetViews>
  <sheetFormatPr defaultRowHeight="12.75"/>
  <cols>
    <col min="1" max="1" width="7.140625" customWidth="1"/>
    <col min="2" max="2" width="72.5703125" customWidth="1"/>
    <col min="3" max="3" width="27.28515625" customWidth="1"/>
    <col min="4" max="4" width="22.140625" customWidth="1"/>
    <col min="5" max="5" width="14.7109375" customWidth="1"/>
  </cols>
  <sheetData>
    <row r="1" spans="1:14" ht="37.5" customHeight="1">
      <c r="B1" s="58" t="s">
        <v>106</v>
      </c>
      <c r="C1" s="7"/>
      <c r="D1" s="77"/>
      <c r="E1" s="7"/>
    </row>
    <row r="2" spans="1:14" ht="138.75" customHeight="1">
      <c r="A2" s="43" t="s">
        <v>92</v>
      </c>
      <c r="B2" s="55" t="s">
        <v>0</v>
      </c>
      <c r="C2" s="55" t="s">
        <v>62</v>
      </c>
      <c r="D2" s="55" t="s">
        <v>63</v>
      </c>
      <c r="E2" s="55" t="s">
        <v>64</v>
      </c>
    </row>
    <row r="3" spans="1:14" ht="16.5" customHeight="1">
      <c r="A3" s="43">
        <v>1</v>
      </c>
      <c r="B3" s="9" t="s">
        <v>17</v>
      </c>
      <c r="C3" s="73">
        <v>5</v>
      </c>
      <c r="D3" s="73">
        <f>4+1</f>
        <v>5</v>
      </c>
      <c r="E3" s="12">
        <f t="shared" ref="E3:E28" si="0">C3/D3</f>
        <v>1</v>
      </c>
    </row>
    <row r="4" spans="1:14" ht="16.5" customHeight="1">
      <c r="A4" s="43">
        <v>2</v>
      </c>
      <c r="B4" s="9" t="s">
        <v>21</v>
      </c>
      <c r="C4" s="159">
        <f>42+3</f>
        <v>45</v>
      </c>
      <c r="D4" s="73">
        <f>20+26+11+14</f>
        <v>71</v>
      </c>
      <c r="E4" s="12">
        <f t="shared" si="0"/>
        <v>0.63380281690140849</v>
      </c>
    </row>
    <row r="5" spans="1:14" ht="16.5" customHeight="1">
      <c r="A5" s="43">
        <v>3</v>
      </c>
      <c r="B5" s="9" t="s">
        <v>24</v>
      </c>
      <c r="C5" s="75">
        <f>21+4</f>
        <v>25</v>
      </c>
      <c r="D5" s="75">
        <f>22+2+13+4</f>
        <v>41</v>
      </c>
      <c r="E5" s="12">
        <f t="shared" si="0"/>
        <v>0.6097560975609756</v>
      </c>
    </row>
    <row r="6" spans="1:14" ht="16.5" customHeight="1">
      <c r="A6" s="43">
        <v>4</v>
      </c>
      <c r="B6" s="9" t="s">
        <v>5</v>
      </c>
      <c r="C6" s="73">
        <f>33+4</f>
        <v>37</v>
      </c>
      <c r="D6" s="73">
        <v>64</v>
      </c>
      <c r="E6" s="12">
        <f t="shared" si="0"/>
        <v>0.578125</v>
      </c>
    </row>
    <row r="7" spans="1:14" ht="16.5" customHeight="1">
      <c r="A7" s="43">
        <v>5</v>
      </c>
      <c r="B7" s="9" t="s">
        <v>122</v>
      </c>
      <c r="C7" s="74">
        <f>54+12</f>
        <v>66</v>
      </c>
      <c r="D7" s="74">
        <f>70+21+23+7+8</f>
        <v>129</v>
      </c>
      <c r="E7" s="12">
        <f t="shared" si="0"/>
        <v>0.51162790697674421</v>
      </c>
    </row>
    <row r="8" spans="1:14" ht="16.5" customHeight="1">
      <c r="A8" s="43">
        <v>6</v>
      </c>
      <c r="B8" s="9" t="s">
        <v>15</v>
      </c>
      <c r="C8" s="73">
        <f>37+4</f>
        <v>41</v>
      </c>
      <c r="D8" s="73">
        <v>89</v>
      </c>
      <c r="E8" s="12">
        <f t="shared" si="0"/>
        <v>0.4606741573033708</v>
      </c>
    </row>
    <row r="9" spans="1:14" ht="16.5" customHeight="1">
      <c r="A9" s="43">
        <v>7</v>
      </c>
      <c r="B9" s="9" t="s">
        <v>29</v>
      </c>
      <c r="C9" s="75">
        <f>29+6</f>
        <v>35</v>
      </c>
      <c r="D9" s="73">
        <v>85</v>
      </c>
      <c r="E9" s="12">
        <f t="shared" si="0"/>
        <v>0.41176470588235292</v>
      </c>
    </row>
    <row r="10" spans="1:14" ht="16.5" customHeight="1">
      <c r="A10" s="43">
        <v>8</v>
      </c>
      <c r="B10" s="9" t="s">
        <v>26</v>
      </c>
      <c r="C10" s="75">
        <f>85+4</f>
        <v>89</v>
      </c>
      <c r="D10" s="73">
        <f>141+35+13+5+23</f>
        <v>217</v>
      </c>
      <c r="E10" s="12">
        <f t="shared" si="0"/>
        <v>0.41013824884792627</v>
      </c>
      <c r="H10" s="114"/>
      <c r="N10" s="8"/>
    </row>
    <row r="11" spans="1:14" ht="16.5" customHeight="1">
      <c r="A11" s="43">
        <v>9</v>
      </c>
      <c r="B11" s="9" t="s">
        <v>20</v>
      </c>
      <c r="C11" s="75">
        <f>29+6</f>
        <v>35</v>
      </c>
      <c r="D11" s="73">
        <v>86</v>
      </c>
      <c r="E11" s="12">
        <f t="shared" si="0"/>
        <v>0.40697674418604651</v>
      </c>
    </row>
    <row r="12" spans="1:14" ht="16.5" customHeight="1">
      <c r="A12" s="43">
        <v>10</v>
      </c>
      <c r="B12" s="9" t="s">
        <v>13</v>
      </c>
      <c r="C12" s="73">
        <f>81+4</f>
        <v>85</v>
      </c>
      <c r="D12" s="73">
        <f>129+44+20+11+19</f>
        <v>223</v>
      </c>
      <c r="E12" s="12">
        <f t="shared" si="0"/>
        <v>0.3811659192825112</v>
      </c>
    </row>
    <row r="13" spans="1:14" ht="16.5" customHeight="1">
      <c r="A13" s="43">
        <v>11</v>
      </c>
      <c r="B13" s="9" t="s">
        <v>14</v>
      </c>
      <c r="C13" s="158">
        <v>134</v>
      </c>
      <c r="D13" s="73">
        <f>73+88+85+79+2+18+5+13</f>
        <v>363</v>
      </c>
      <c r="E13" s="12">
        <f t="shared" si="0"/>
        <v>0.36914600550964188</v>
      </c>
      <c r="I13" s="113"/>
    </row>
    <row r="14" spans="1:14" ht="16.5" customHeight="1">
      <c r="A14" s="43">
        <v>12</v>
      </c>
      <c r="B14" s="9" t="s">
        <v>31</v>
      </c>
      <c r="C14" s="75">
        <v>27</v>
      </c>
      <c r="D14" s="73">
        <f>69+10+1</f>
        <v>80</v>
      </c>
      <c r="E14" s="13">
        <f t="shared" si="0"/>
        <v>0.33750000000000002</v>
      </c>
    </row>
    <row r="15" spans="1:14" ht="16.5" customHeight="1">
      <c r="A15" s="43">
        <v>13</v>
      </c>
      <c r="B15" s="9" t="s">
        <v>8</v>
      </c>
      <c r="C15" s="73">
        <f>52+13</f>
        <v>65</v>
      </c>
      <c r="D15" s="73">
        <f>23+81+30+3+17+36+4</f>
        <v>194</v>
      </c>
      <c r="E15" s="12">
        <f t="shared" si="0"/>
        <v>0.33505154639175255</v>
      </c>
    </row>
    <row r="16" spans="1:14" ht="16.5" customHeight="1">
      <c r="A16" s="43">
        <v>14</v>
      </c>
      <c r="B16" s="9" t="s">
        <v>27</v>
      </c>
      <c r="C16" s="74">
        <f>12+7</f>
        <v>19</v>
      </c>
      <c r="D16" s="74">
        <f>5+43+11</f>
        <v>59</v>
      </c>
      <c r="E16" s="12">
        <f t="shared" si="0"/>
        <v>0.32203389830508472</v>
      </c>
    </row>
    <row r="17" spans="1:13" ht="16.5" customHeight="1">
      <c r="A17" s="43">
        <v>15</v>
      </c>
      <c r="B17" s="9" t="s">
        <v>9</v>
      </c>
      <c r="C17" s="75">
        <f>22+3</f>
        <v>25</v>
      </c>
      <c r="D17" s="73">
        <f>5+43+31</f>
        <v>79</v>
      </c>
      <c r="E17" s="12">
        <f t="shared" si="0"/>
        <v>0.31645569620253167</v>
      </c>
    </row>
    <row r="18" spans="1:13" ht="16.5" customHeight="1">
      <c r="A18" s="43">
        <v>16</v>
      </c>
      <c r="B18" s="9" t="s">
        <v>12</v>
      </c>
      <c r="C18" s="73">
        <f>37+4+5</f>
        <v>46</v>
      </c>
      <c r="D18" s="73">
        <f>95+30+3+22</f>
        <v>150</v>
      </c>
      <c r="E18" s="12">
        <f t="shared" si="0"/>
        <v>0.30666666666666664</v>
      </c>
    </row>
    <row r="19" spans="1:13" ht="16.5" customHeight="1">
      <c r="A19" s="43">
        <v>17</v>
      </c>
      <c r="B19" s="9" t="s">
        <v>19</v>
      </c>
      <c r="C19" s="75">
        <f>65+6</f>
        <v>71</v>
      </c>
      <c r="D19" s="73">
        <f>138+83+16+3+7</f>
        <v>247</v>
      </c>
      <c r="E19" s="12">
        <f t="shared" si="0"/>
        <v>0.2874493927125506</v>
      </c>
      <c r="I19" s="113"/>
    </row>
    <row r="20" spans="1:13" ht="16.5" customHeight="1">
      <c r="A20" s="43">
        <v>18</v>
      </c>
      <c r="B20" s="9" t="s">
        <v>25</v>
      </c>
      <c r="C20" s="75">
        <f>90+11</f>
        <v>101</v>
      </c>
      <c r="D20" s="73">
        <f>162+105+40+26+15+5+10+3</f>
        <v>366</v>
      </c>
      <c r="E20" s="12">
        <f t="shared" si="0"/>
        <v>0.27595628415300544</v>
      </c>
    </row>
    <row r="21" spans="1:13" ht="16.5" customHeight="1">
      <c r="A21" s="43">
        <v>19</v>
      </c>
      <c r="B21" s="9" t="s">
        <v>28</v>
      </c>
      <c r="C21" s="75">
        <v>47</v>
      </c>
      <c r="D21" s="73">
        <f>82+84+5</f>
        <v>171</v>
      </c>
      <c r="E21" s="13">
        <f t="shared" si="0"/>
        <v>0.27485380116959063</v>
      </c>
    </row>
    <row r="22" spans="1:13" ht="16.5" customHeight="1">
      <c r="A22" s="43">
        <v>20</v>
      </c>
      <c r="B22" s="9" t="s">
        <v>4</v>
      </c>
      <c r="C22" s="81">
        <v>28</v>
      </c>
      <c r="D22" s="74">
        <f>12+54+1+9+26+2</f>
        <v>104</v>
      </c>
      <c r="E22" s="13">
        <f t="shared" si="0"/>
        <v>0.26923076923076922</v>
      </c>
    </row>
    <row r="23" spans="1:13" ht="16.5" customHeight="1">
      <c r="A23" s="43">
        <v>21</v>
      </c>
      <c r="B23" s="9" t="s">
        <v>10</v>
      </c>
      <c r="C23" s="73">
        <v>33</v>
      </c>
      <c r="D23" s="73">
        <f>11+36+12+13+50+20</f>
        <v>142</v>
      </c>
      <c r="E23" s="12">
        <f t="shared" si="0"/>
        <v>0.23239436619718309</v>
      </c>
      <c r="M23" s="136"/>
    </row>
    <row r="24" spans="1:13" ht="16.5" customHeight="1">
      <c r="A24" s="43">
        <v>22</v>
      </c>
      <c r="B24" s="9" t="s">
        <v>103</v>
      </c>
      <c r="C24" s="73">
        <v>19</v>
      </c>
      <c r="D24" s="73">
        <f>10+46+1+28</f>
        <v>85</v>
      </c>
      <c r="E24" s="12">
        <f t="shared" si="0"/>
        <v>0.22352941176470589</v>
      </c>
    </row>
    <row r="25" spans="1:13" ht="16.5" customHeight="1">
      <c r="A25" s="43">
        <v>23</v>
      </c>
      <c r="B25" s="9" t="s">
        <v>6</v>
      </c>
      <c r="C25" s="75">
        <f>23+5</f>
        <v>28</v>
      </c>
      <c r="D25" s="73">
        <f>10+100+28</f>
        <v>138</v>
      </c>
      <c r="E25" s="12">
        <f t="shared" si="0"/>
        <v>0.20289855072463769</v>
      </c>
    </row>
    <row r="26" spans="1:13" ht="16.5" customHeight="1">
      <c r="A26" s="43">
        <v>24</v>
      </c>
      <c r="B26" s="9" t="s">
        <v>11</v>
      </c>
      <c r="C26" s="75">
        <f>48+7</f>
        <v>55</v>
      </c>
      <c r="D26" s="73">
        <f>151+125+5+12</f>
        <v>293</v>
      </c>
      <c r="E26" s="12">
        <f t="shared" si="0"/>
        <v>0.18771331058020477</v>
      </c>
    </row>
    <row r="27" spans="1:13" ht="16.5" customHeight="1">
      <c r="A27" s="43">
        <v>25</v>
      </c>
      <c r="B27" s="9" t="s">
        <v>7</v>
      </c>
      <c r="C27" s="73">
        <v>0</v>
      </c>
      <c r="D27" s="73">
        <f>49+59+1+4</f>
        <v>113</v>
      </c>
      <c r="E27" s="12">
        <f t="shared" si="0"/>
        <v>0</v>
      </c>
    </row>
    <row r="28" spans="1:13" ht="16.5" customHeight="1">
      <c r="A28" s="43">
        <v>26</v>
      </c>
      <c r="B28" s="102" t="s">
        <v>22</v>
      </c>
      <c r="C28" s="73">
        <v>0</v>
      </c>
      <c r="D28" s="73">
        <f>21+3+4</f>
        <v>28</v>
      </c>
      <c r="E28" s="12">
        <f t="shared" si="0"/>
        <v>0</v>
      </c>
    </row>
    <row r="29" spans="1:13" ht="15.75">
      <c r="B29" s="19" t="s">
        <v>49</v>
      </c>
      <c r="C29" s="95">
        <f>SUM(C3:C28)</f>
        <v>1161</v>
      </c>
      <c r="D29" s="95">
        <f>SUM(D3:D28)</f>
        <v>3622</v>
      </c>
      <c r="E29" s="13"/>
    </row>
    <row r="30" spans="1:13" ht="43.5" customHeight="1">
      <c r="A30" s="107"/>
      <c r="B30" s="108" t="s">
        <v>61</v>
      </c>
      <c r="C30" s="109"/>
      <c r="D30" s="109"/>
      <c r="E30" s="109"/>
    </row>
    <row r="31" spans="1:13" ht="132.75" customHeight="1">
      <c r="A31" s="43" t="s">
        <v>92</v>
      </c>
      <c r="B31" s="55" t="s">
        <v>41</v>
      </c>
      <c r="C31" s="55" t="s">
        <v>62</v>
      </c>
      <c r="D31" s="55" t="s">
        <v>63</v>
      </c>
      <c r="E31" s="55" t="s">
        <v>64</v>
      </c>
    </row>
    <row r="32" spans="1:13" ht="16.5" customHeight="1">
      <c r="A32" s="43">
        <v>1</v>
      </c>
      <c r="B32" s="3" t="s">
        <v>35</v>
      </c>
      <c r="C32" s="25">
        <v>264</v>
      </c>
      <c r="D32" s="25">
        <v>562</v>
      </c>
      <c r="E32" s="13">
        <f>C32/D32</f>
        <v>0.46975088967971529</v>
      </c>
    </row>
    <row r="33" spans="1:5" ht="16.5" customHeight="1">
      <c r="A33" s="43">
        <v>2</v>
      </c>
      <c r="B33" s="3" t="s">
        <v>34</v>
      </c>
      <c r="C33" s="25">
        <v>401</v>
      </c>
      <c r="D33" s="25">
        <v>1149</v>
      </c>
      <c r="E33" s="13">
        <f>C33/D33</f>
        <v>0.34899912967798086</v>
      </c>
    </row>
    <row r="34" spans="1:5" ht="16.5" customHeight="1">
      <c r="A34" s="43">
        <v>3</v>
      </c>
      <c r="B34" s="3" t="s">
        <v>33</v>
      </c>
      <c r="C34" s="25">
        <v>217</v>
      </c>
      <c r="D34" s="25">
        <v>829</v>
      </c>
      <c r="E34" s="13">
        <f>C34/D34</f>
        <v>0.2617611580217129</v>
      </c>
    </row>
    <row r="35" spans="1:5" ht="16.5" customHeight="1">
      <c r="A35" s="43">
        <v>4</v>
      </c>
      <c r="B35" s="3" t="s">
        <v>36</v>
      </c>
      <c r="C35" s="25">
        <v>279</v>
      </c>
      <c r="D35" s="25">
        <v>1082</v>
      </c>
      <c r="E35" s="13">
        <f>C35/D35</f>
        <v>0.25785582255083178</v>
      </c>
    </row>
    <row r="36" spans="1:5" ht="15.75">
      <c r="B36" s="19" t="s">
        <v>49</v>
      </c>
      <c r="C36" s="31">
        <f>SUM(C32:C35)</f>
        <v>1161</v>
      </c>
      <c r="D36" s="31">
        <f>SUM(D32:D35)</f>
        <v>3622</v>
      </c>
      <c r="E36" s="27"/>
    </row>
    <row r="38" spans="1:5" ht="36.75" customHeight="1">
      <c r="C38" s="5"/>
    </row>
    <row r="39" spans="1:5" ht="19.5" customHeight="1">
      <c r="B39" s="24"/>
    </row>
  </sheetData>
  <sortState ref="B32:E35">
    <sortCondition descending="1" ref="E32:E35"/>
  </sortState>
  <phoneticPr fontId="0" type="noConversion"/>
  <pageMargins left="0.43" right="0.22" top="0.47" bottom="0.37" header="0.35" footer="0.27"/>
  <pageSetup paperSize="9" scale="90" orientation="landscape" r:id="rId1"/>
  <headerFooter alignWithMargins="0"/>
  <ignoredErrors>
    <ignoredError sqref="C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>
      <selection activeCell="B20" sqref="B20"/>
    </sheetView>
  </sheetViews>
  <sheetFormatPr defaultRowHeight="12.75"/>
  <cols>
    <col min="1" max="1" width="6.85546875" customWidth="1"/>
    <col min="2" max="2" width="67.28515625" customWidth="1"/>
    <col min="3" max="3" width="20.5703125" customWidth="1"/>
    <col min="4" max="4" width="19.28515625" customWidth="1"/>
    <col min="5" max="5" width="26.28515625" customWidth="1"/>
    <col min="6" max="6" width="22" customWidth="1"/>
    <col min="7" max="7" width="22.140625" customWidth="1"/>
    <col min="8" max="8" width="18.28515625" customWidth="1"/>
    <col min="9" max="9" width="16.42578125" bestFit="1" customWidth="1"/>
  </cols>
  <sheetData>
    <row r="1" spans="1:9" ht="40.5">
      <c r="B1" s="58" t="s">
        <v>77</v>
      </c>
      <c r="C1" s="7"/>
      <c r="D1" s="7"/>
      <c r="E1" s="7"/>
    </row>
    <row r="2" spans="1:9" ht="150.75" customHeight="1">
      <c r="A2" s="43" t="s">
        <v>92</v>
      </c>
      <c r="B2" s="55" t="s">
        <v>0</v>
      </c>
      <c r="C2" s="55" t="s">
        <v>167</v>
      </c>
      <c r="D2" s="55" t="s">
        <v>98</v>
      </c>
      <c r="E2" s="55" t="s">
        <v>168</v>
      </c>
      <c r="F2" s="55" t="s">
        <v>157</v>
      </c>
      <c r="G2" s="55" t="s">
        <v>169</v>
      </c>
      <c r="H2" s="55" t="s">
        <v>128</v>
      </c>
      <c r="I2" s="55" t="s">
        <v>78</v>
      </c>
    </row>
    <row r="3" spans="1:9" s="10" customFormat="1" ht="16.5" customHeight="1">
      <c r="A3" s="46">
        <v>1</v>
      </c>
      <c r="B3" s="9" t="s">
        <v>25</v>
      </c>
      <c r="C3" s="74">
        <f>39+3+3+1</f>
        <v>46</v>
      </c>
      <c r="D3" s="75">
        <v>409</v>
      </c>
      <c r="E3" s="74">
        <f>23+3</f>
        <v>26</v>
      </c>
      <c r="F3" s="74">
        <v>227</v>
      </c>
      <c r="G3" s="74">
        <f>11+16+3+6</f>
        <v>36</v>
      </c>
      <c r="H3" s="74">
        <v>311</v>
      </c>
      <c r="I3" s="35">
        <f t="shared" ref="I3:I28" si="0">C3/D3+E3/F3+G3/H3</f>
        <v>0.34276250959637877</v>
      </c>
    </row>
    <row r="4" spans="1:9" s="10" customFormat="1" ht="16.5" customHeight="1">
      <c r="A4" s="46">
        <v>2</v>
      </c>
      <c r="B4" s="9" t="s">
        <v>14</v>
      </c>
      <c r="C4" s="75">
        <f>16+15+5</f>
        <v>36</v>
      </c>
      <c r="D4" s="75">
        <v>409</v>
      </c>
      <c r="E4" s="75">
        <f>10+21</f>
        <v>31</v>
      </c>
      <c r="F4" s="74">
        <v>227</v>
      </c>
      <c r="G4" s="74">
        <f>19+1+15</f>
        <v>35</v>
      </c>
      <c r="H4" s="74">
        <v>311</v>
      </c>
      <c r="I4" s="35">
        <f t="shared" si="0"/>
        <v>0.33712362948022789</v>
      </c>
    </row>
    <row r="5" spans="1:9" s="10" customFormat="1" ht="16.5" customHeight="1">
      <c r="A5" s="46">
        <v>3</v>
      </c>
      <c r="B5" s="9" t="s">
        <v>19</v>
      </c>
      <c r="C5" s="75">
        <f>31+3</f>
        <v>34</v>
      </c>
      <c r="D5" s="75">
        <v>409</v>
      </c>
      <c r="E5" s="75">
        <v>25</v>
      </c>
      <c r="F5" s="74">
        <v>227</v>
      </c>
      <c r="G5" s="74">
        <v>29</v>
      </c>
      <c r="H5" s="74">
        <v>311</v>
      </c>
      <c r="I5" s="35">
        <f t="shared" si="0"/>
        <v>0.28650933136682388</v>
      </c>
    </row>
    <row r="6" spans="1:9" s="10" customFormat="1" ht="16.5" customHeight="1">
      <c r="A6" s="46">
        <v>4</v>
      </c>
      <c r="B6" s="9" t="s">
        <v>11</v>
      </c>
      <c r="C6" s="75">
        <f>42+4</f>
        <v>46</v>
      </c>
      <c r="D6" s="75">
        <v>409</v>
      </c>
      <c r="E6" s="75">
        <v>14</v>
      </c>
      <c r="F6" s="74">
        <v>227</v>
      </c>
      <c r="G6" s="74">
        <f>18+1</f>
        <v>19</v>
      </c>
      <c r="H6" s="74">
        <v>311</v>
      </c>
      <c r="I6" s="35">
        <f t="shared" si="0"/>
        <v>0.23523669405180886</v>
      </c>
    </row>
    <row r="7" spans="1:9" s="10" customFormat="1" ht="16.5" customHeight="1">
      <c r="A7" s="46">
        <v>5</v>
      </c>
      <c r="B7" s="9" t="s">
        <v>26</v>
      </c>
      <c r="C7" s="86">
        <f>40+2</f>
        <v>42</v>
      </c>
      <c r="D7" s="75">
        <v>409</v>
      </c>
      <c r="E7" s="75">
        <v>12</v>
      </c>
      <c r="F7" s="74">
        <v>227</v>
      </c>
      <c r="G7" s="74">
        <v>20</v>
      </c>
      <c r="H7" s="74">
        <v>311</v>
      </c>
      <c r="I7" s="35">
        <f t="shared" si="0"/>
        <v>0.21986160434794097</v>
      </c>
    </row>
    <row r="8" spans="1:9" s="10" customFormat="1" ht="16.5" customHeight="1">
      <c r="A8" s="46">
        <v>6</v>
      </c>
      <c r="B8" s="9" t="s">
        <v>31</v>
      </c>
      <c r="C8" s="75">
        <v>6</v>
      </c>
      <c r="D8" s="75">
        <v>409</v>
      </c>
      <c r="E8" s="75">
        <v>29</v>
      </c>
      <c r="F8" s="74">
        <v>227</v>
      </c>
      <c r="G8" s="74">
        <v>15</v>
      </c>
      <c r="H8" s="74">
        <v>311</v>
      </c>
      <c r="I8" s="35">
        <f t="shared" si="0"/>
        <v>0.19065474186914375</v>
      </c>
    </row>
    <row r="9" spans="1:9" s="10" customFormat="1" ht="16.5" customHeight="1">
      <c r="A9" s="46">
        <v>7</v>
      </c>
      <c r="B9" s="9" t="s">
        <v>28</v>
      </c>
      <c r="C9" s="75">
        <f>13</f>
        <v>13</v>
      </c>
      <c r="D9" s="75">
        <v>409</v>
      </c>
      <c r="E9" s="75">
        <v>19</v>
      </c>
      <c r="F9" s="74">
        <v>227</v>
      </c>
      <c r="G9" s="74">
        <f>16+1</f>
        <v>17</v>
      </c>
      <c r="H9" s="74">
        <v>311</v>
      </c>
      <c r="I9" s="35">
        <f t="shared" si="0"/>
        <v>0.17014766102565085</v>
      </c>
    </row>
    <row r="10" spans="1:9" s="10" customFormat="1" ht="16.5" customHeight="1">
      <c r="A10" s="46">
        <v>8</v>
      </c>
      <c r="B10" s="9" t="s">
        <v>13</v>
      </c>
      <c r="C10" s="75">
        <f>31+5</f>
        <v>36</v>
      </c>
      <c r="D10" s="75">
        <v>409</v>
      </c>
      <c r="E10" s="75">
        <f>4+1</f>
        <v>5</v>
      </c>
      <c r="F10" s="74">
        <v>227</v>
      </c>
      <c r="G10" s="74">
        <f>5+10</f>
        <v>15</v>
      </c>
      <c r="H10" s="74">
        <v>311</v>
      </c>
      <c r="I10" s="35">
        <f t="shared" si="0"/>
        <v>0.15827750287428147</v>
      </c>
    </row>
    <row r="11" spans="1:9" s="10" customFormat="1" ht="16.5" customHeight="1">
      <c r="A11" s="46">
        <v>9</v>
      </c>
      <c r="B11" s="9" t="s">
        <v>122</v>
      </c>
      <c r="C11" s="75">
        <f>18+1</f>
        <v>19</v>
      </c>
      <c r="D11" s="75">
        <v>409</v>
      </c>
      <c r="E11" s="75">
        <v>12</v>
      </c>
      <c r="F11" s="74">
        <v>227</v>
      </c>
      <c r="G11" s="74">
        <v>15</v>
      </c>
      <c r="H11" s="74">
        <v>311</v>
      </c>
      <c r="I11" s="35">
        <f t="shared" si="0"/>
        <v>0.14754971510352868</v>
      </c>
    </row>
    <row r="12" spans="1:9" s="10" customFormat="1" ht="16.5" customHeight="1">
      <c r="A12" s="46">
        <v>10</v>
      </c>
      <c r="B12" s="9" t="s">
        <v>12</v>
      </c>
      <c r="C12" s="75">
        <f>23+2</f>
        <v>25</v>
      </c>
      <c r="D12" s="75">
        <v>409</v>
      </c>
      <c r="E12" s="75">
        <v>6</v>
      </c>
      <c r="F12" s="74">
        <v>227</v>
      </c>
      <c r="G12" s="74">
        <v>15</v>
      </c>
      <c r="H12" s="74">
        <v>311</v>
      </c>
      <c r="I12" s="35">
        <f t="shared" si="0"/>
        <v>0.13578792369222142</v>
      </c>
    </row>
    <row r="13" spans="1:9" s="10" customFormat="1" ht="16.5" customHeight="1">
      <c r="A13" s="46">
        <v>11</v>
      </c>
      <c r="B13" s="9" t="s">
        <v>20</v>
      </c>
      <c r="C13" s="75">
        <v>21</v>
      </c>
      <c r="D13" s="75">
        <v>409</v>
      </c>
      <c r="E13" s="75">
        <v>6</v>
      </c>
      <c r="F13" s="74">
        <v>227</v>
      </c>
      <c r="G13" s="74">
        <v>12</v>
      </c>
      <c r="H13" s="74">
        <v>311</v>
      </c>
      <c r="I13" s="35">
        <f t="shared" si="0"/>
        <v>0.11636167034117306</v>
      </c>
    </row>
    <row r="14" spans="1:9" s="10" customFormat="1" ht="16.5" customHeight="1">
      <c r="A14" s="46">
        <v>12</v>
      </c>
      <c r="B14" s="9" t="s">
        <v>29</v>
      </c>
      <c r="C14" s="86">
        <v>21</v>
      </c>
      <c r="D14" s="75">
        <v>409</v>
      </c>
      <c r="E14" s="75">
        <v>5</v>
      </c>
      <c r="F14" s="74">
        <v>227</v>
      </c>
      <c r="G14" s="74">
        <v>12</v>
      </c>
      <c r="H14" s="74">
        <v>311</v>
      </c>
      <c r="I14" s="35">
        <f t="shared" si="0"/>
        <v>0.11195638399756073</v>
      </c>
    </row>
    <row r="15" spans="1:9" s="10" customFormat="1" ht="16.5" customHeight="1">
      <c r="A15" s="46">
        <v>13</v>
      </c>
      <c r="B15" s="9" t="s">
        <v>15</v>
      </c>
      <c r="C15" s="75">
        <v>9</v>
      </c>
      <c r="D15" s="75">
        <v>409</v>
      </c>
      <c r="E15" s="75">
        <v>13</v>
      </c>
      <c r="F15" s="74">
        <v>227</v>
      </c>
      <c r="G15" s="74">
        <v>10</v>
      </c>
      <c r="H15" s="74">
        <v>311</v>
      </c>
      <c r="I15" s="35">
        <f t="shared" si="0"/>
        <v>0.11142795327852334</v>
      </c>
    </row>
    <row r="16" spans="1:9" s="10" customFormat="1" ht="16.5" customHeight="1">
      <c r="A16" s="46">
        <v>14</v>
      </c>
      <c r="B16" s="9" t="s">
        <v>10</v>
      </c>
      <c r="C16" s="86">
        <f>2</f>
        <v>2</v>
      </c>
      <c r="D16" s="75">
        <v>409</v>
      </c>
      <c r="E16" s="75">
        <f>4+3</f>
        <v>7</v>
      </c>
      <c r="F16" s="74">
        <v>227</v>
      </c>
      <c r="G16" s="74">
        <f>6+5</f>
        <v>11</v>
      </c>
      <c r="H16" s="74">
        <v>311</v>
      </c>
      <c r="I16" s="35">
        <f t="shared" si="0"/>
        <v>7.1096754875022733E-2</v>
      </c>
    </row>
    <row r="17" spans="1:9" s="10" customFormat="1" ht="16.5" customHeight="1">
      <c r="A17" s="46">
        <v>15</v>
      </c>
      <c r="B17" s="9" t="s">
        <v>24</v>
      </c>
      <c r="C17" s="81">
        <f>5+6</f>
        <v>11</v>
      </c>
      <c r="D17" s="75">
        <v>409</v>
      </c>
      <c r="E17" s="81">
        <v>2</v>
      </c>
      <c r="F17" s="74">
        <v>227</v>
      </c>
      <c r="G17" s="74">
        <f>5+5</f>
        <v>10</v>
      </c>
      <c r="H17" s="74">
        <v>311</v>
      </c>
      <c r="I17" s="35">
        <f t="shared" si="0"/>
        <v>6.7859779048909899E-2</v>
      </c>
    </row>
    <row r="18" spans="1:9" s="10" customFormat="1" ht="16.5" customHeight="1">
      <c r="A18" s="46">
        <v>16</v>
      </c>
      <c r="B18" s="9" t="s">
        <v>8</v>
      </c>
      <c r="C18" s="73">
        <f>3</f>
        <v>3</v>
      </c>
      <c r="D18" s="75">
        <v>409</v>
      </c>
      <c r="E18" s="73">
        <f>4</f>
        <v>4</v>
      </c>
      <c r="F18" s="74">
        <v>227</v>
      </c>
      <c r="G18" s="74">
        <f>6+2</f>
        <v>8</v>
      </c>
      <c r="H18" s="74">
        <v>311</v>
      </c>
      <c r="I18" s="35">
        <f t="shared" si="0"/>
        <v>5.0679581368443E-2</v>
      </c>
    </row>
    <row r="19" spans="1:9" s="10" customFormat="1" ht="16.5" customHeight="1">
      <c r="A19" s="46">
        <v>17</v>
      </c>
      <c r="B19" s="9" t="s">
        <v>7</v>
      </c>
      <c r="C19" s="75">
        <f>7+1</f>
        <v>8</v>
      </c>
      <c r="D19" s="75">
        <v>409</v>
      </c>
      <c r="E19" s="75">
        <v>6</v>
      </c>
      <c r="F19" s="74">
        <v>227</v>
      </c>
      <c r="G19" s="74">
        <v>0</v>
      </c>
      <c r="H19" s="74">
        <v>311</v>
      </c>
      <c r="I19" s="35">
        <f t="shared" si="0"/>
        <v>4.599162026216301E-2</v>
      </c>
    </row>
    <row r="20" spans="1:9" s="10" customFormat="1" ht="16.5" customHeight="1">
      <c r="A20" s="46">
        <v>18</v>
      </c>
      <c r="B20" s="9" t="s">
        <v>5</v>
      </c>
      <c r="C20" s="75">
        <v>6</v>
      </c>
      <c r="D20" s="75">
        <v>409</v>
      </c>
      <c r="E20" s="75">
        <v>0</v>
      </c>
      <c r="F20" s="74">
        <v>227</v>
      </c>
      <c r="G20" s="74">
        <v>9</v>
      </c>
      <c r="H20" s="74">
        <v>311</v>
      </c>
      <c r="I20" s="35">
        <f t="shared" si="0"/>
        <v>4.3608833402778324E-2</v>
      </c>
    </row>
    <row r="21" spans="1:9" s="10" customFormat="1" ht="16.5" customHeight="1">
      <c r="A21" s="46">
        <v>19</v>
      </c>
      <c r="B21" s="9" t="s">
        <v>9</v>
      </c>
      <c r="C21" s="75">
        <f>1</f>
        <v>1</v>
      </c>
      <c r="D21" s="75">
        <v>409</v>
      </c>
      <c r="E21" s="75">
        <v>2</v>
      </c>
      <c r="F21" s="74">
        <v>227</v>
      </c>
      <c r="G21" s="74">
        <v>7</v>
      </c>
      <c r="H21" s="74">
        <v>311</v>
      </c>
      <c r="I21" s="35">
        <f t="shared" si="0"/>
        <v>3.3763599047494798E-2</v>
      </c>
    </row>
    <row r="22" spans="1:9" s="10" customFormat="1" ht="16.5" customHeight="1">
      <c r="A22" s="46">
        <v>20</v>
      </c>
      <c r="B22" s="9" t="s">
        <v>21</v>
      </c>
      <c r="C22" s="75">
        <v>7</v>
      </c>
      <c r="D22" s="75">
        <v>409</v>
      </c>
      <c r="E22" s="75">
        <v>0</v>
      </c>
      <c r="F22" s="74">
        <v>227</v>
      </c>
      <c r="G22" s="74">
        <v>4</v>
      </c>
      <c r="H22" s="74">
        <v>311</v>
      </c>
      <c r="I22" s="35">
        <f t="shared" si="0"/>
        <v>2.9976650759833016E-2</v>
      </c>
    </row>
    <row r="23" spans="1:9" s="10" customFormat="1" ht="16.5" customHeight="1">
      <c r="A23" s="46">
        <v>21</v>
      </c>
      <c r="B23" s="9" t="s">
        <v>6</v>
      </c>
      <c r="C23" s="81">
        <v>2</v>
      </c>
      <c r="D23" s="75">
        <v>409</v>
      </c>
      <c r="E23" s="81">
        <v>2</v>
      </c>
      <c r="F23" s="74">
        <v>227</v>
      </c>
      <c r="G23" s="74">
        <v>3</v>
      </c>
      <c r="H23" s="74">
        <v>311</v>
      </c>
      <c r="I23" s="35">
        <f t="shared" si="0"/>
        <v>2.3346850488150779E-2</v>
      </c>
    </row>
    <row r="24" spans="1:9" s="10" customFormat="1" ht="16.5" customHeight="1">
      <c r="A24" s="46">
        <v>22</v>
      </c>
      <c r="B24" s="9" t="s">
        <v>4</v>
      </c>
      <c r="C24" s="86">
        <v>3</v>
      </c>
      <c r="D24" s="75">
        <v>409</v>
      </c>
      <c r="E24" s="75">
        <v>1</v>
      </c>
      <c r="F24" s="74">
        <v>227</v>
      </c>
      <c r="G24" s="74">
        <v>3</v>
      </c>
      <c r="H24" s="74">
        <v>311</v>
      </c>
      <c r="I24" s="35">
        <f t="shared" si="0"/>
        <v>2.1386551919599567E-2</v>
      </c>
    </row>
    <row r="25" spans="1:9" s="10" customFormat="1" ht="16.5" customHeight="1">
      <c r="A25" s="46">
        <v>23</v>
      </c>
      <c r="B25" s="9" t="s">
        <v>104</v>
      </c>
      <c r="C25" s="75">
        <v>4</v>
      </c>
      <c r="D25" s="75">
        <v>409</v>
      </c>
      <c r="E25" s="75">
        <v>0</v>
      </c>
      <c r="F25" s="74">
        <v>227</v>
      </c>
      <c r="G25" s="74">
        <v>3</v>
      </c>
      <c r="H25" s="74">
        <v>311</v>
      </c>
      <c r="I25" s="35">
        <f t="shared" si="0"/>
        <v>1.9426253351048358E-2</v>
      </c>
    </row>
    <row r="26" spans="1:9" s="10" customFormat="1" ht="15.75">
      <c r="A26" s="46">
        <v>24</v>
      </c>
      <c r="B26" s="9" t="s">
        <v>27</v>
      </c>
      <c r="C26" s="75">
        <v>1</v>
      </c>
      <c r="D26" s="75">
        <v>409</v>
      </c>
      <c r="E26" s="75">
        <v>0</v>
      </c>
      <c r="F26" s="74">
        <v>227</v>
      </c>
      <c r="G26" s="74">
        <v>3</v>
      </c>
      <c r="H26" s="74">
        <v>311</v>
      </c>
      <c r="I26" s="35">
        <f t="shared" si="0"/>
        <v>1.2091290025864985E-2</v>
      </c>
    </row>
    <row r="27" spans="1:9" s="10" customFormat="1" ht="15.75">
      <c r="A27" s="46">
        <v>25</v>
      </c>
      <c r="B27" s="102" t="s">
        <v>17</v>
      </c>
      <c r="C27" s="75">
        <v>4</v>
      </c>
      <c r="D27" s="75">
        <v>409</v>
      </c>
      <c r="E27" s="75">
        <v>0</v>
      </c>
      <c r="F27" s="74">
        <v>227</v>
      </c>
      <c r="G27" s="74">
        <v>0</v>
      </c>
      <c r="H27" s="74">
        <v>311</v>
      </c>
      <c r="I27" s="35">
        <f t="shared" si="0"/>
        <v>9.7799511002444987E-3</v>
      </c>
    </row>
    <row r="28" spans="1:9" s="10" customFormat="1" ht="15.75">
      <c r="A28" s="46">
        <v>26</v>
      </c>
      <c r="B28" s="102" t="s">
        <v>22</v>
      </c>
      <c r="C28" s="75">
        <v>3</v>
      </c>
      <c r="D28" s="75">
        <v>409</v>
      </c>
      <c r="E28" s="75">
        <v>0</v>
      </c>
      <c r="F28" s="74">
        <v>227</v>
      </c>
      <c r="G28" s="74">
        <v>0</v>
      </c>
      <c r="H28" s="74">
        <v>311</v>
      </c>
      <c r="I28" s="35">
        <f t="shared" si="0"/>
        <v>7.3349633251833741E-3</v>
      </c>
    </row>
    <row r="29" spans="1:9" ht="15.75">
      <c r="B29" s="19" t="s">
        <v>49</v>
      </c>
      <c r="C29" s="95">
        <f>SUM(C3:C28)</f>
        <v>409</v>
      </c>
      <c r="D29" s="95"/>
      <c r="E29" s="95">
        <f t="shared" ref="E29:G29" si="1">SUM(E3:E28)</f>
        <v>227</v>
      </c>
      <c r="F29" s="95"/>
      <c r="G29" s="95">
        <f t="shared" si="1"/>
        <v>311</v>
      </c>
      <c r="H29" s="31"/>
      <c r="I29" s="115"/>
    </row>
    <row r="30" spans="1:9" ht="40.5">
      <c r="A30" s="37"/>
      <c r="B30" s="70" t="s">
        <v>76</v>
      </c>
      <c r="C30" s="42"/>
      <c r="D30" s="42"/>
      <c r="E30" s="42"/>
      <c r="F30" s="37"/>
      <c r="G30" s="37"/>
      <c r="H30" s="37"/>
      <c r="I30" s="37"/>
    </row>
    <row r="31" spans="1:9" ht="147.75" customHeight="1">
      <c r="A31" s="20"/>
      <c r="B31" s="55" t="s">
        <v>41</v>
      </c>
      <c r="C31" s="55" t="s">
        <v>141</v>
      </c>
      <c r="D31" s="55" t="s">
        <v>98</v>
      </c>
      <c r="E31" s="55" t="s">
        <v>156</v>
      </c>
      <c r="F31" s="55" t="s">
        <v>157</v>
      </c>
      <c r="G31" s="55" t="s">
        <v>142</v>
      </c>
      <c r="H31" s="55" t="s">
        <v>99</v>
      </c>
      <c r="I31" s="55" t="s">
        <v>78</v>
      </c>
    </row>
    <row r="32" spans="1:9" ht="27.75" customHeight="1">
      <c r="A32" s="43">
        <v>1</v>
      </c>
      <c r="B32" s="3" t="s">
        <v>34</v>
      </c>
      <c r="C32" s="25">
        <v>166</v>
      </c>
      <c r="D32" s="25">
        <v>409</v>
      </c>
      <c r="E32" s="25">
        <v>71</v>
      </c>
      <c r="F32" s="28">
        <v>227</v>
      </c>
      <c r="G32" s="28">
        <v>104</v>
      </c>
      <c r="H32" s="28">
        <v>311</v>
      </c>
      <c r="I32" s="30">
        <f>C32/D32+E32/F32+G32/H32</f>
        <v>1.0530484457511562</v>
      </c>
    </row>
    <row r="33" spans="1:9" ht="33" customHeight="1">
      <c r="A33" s="43">
        <v>2</v>
      </c>
      <c r="B33" s="3" t="s">
        <v>36</v>
      </c>
      <c r="C33" s="25">
        <v>143</v>
      </c>
      <c r="D33" s="25">
        <v>409</v>
      </c>
      <c r="E33" s="25">
        <v>84</v>
      </c>
      <c r="F33" s="28">
        <v>227</v>
      </c>
      <c r="G33" s="28">
        <v>101</v>
      </c>
      <c r="H33" s="28">
        <v>311</v>
      </c>
      <c r="I33" s="30">
        <f>C33/D33+E33/F33+G33/H33</f>
        <v>1.0444361471409067</v>
      </c>
    </row>
    <row r="34" spans="1:9" ht="31.5">
      <c r="A34" s="43">
        <v>3</v>
      </c>
      <c r="B34" s="3" t="s">
        <v>35</v>
      </c>
      <c r="C34" s="25">
        <v>81</v>
      </c>
      <c r="D34" s="25">
        <v>409</v>
      </c>
      <c r="E34" s="25">
        <v>56</v>
      </c>
      <c r="F34" s="28">
        <v>227</v>
      </c>
      <c r="G34" s="28">
        <v>68</v>
      </c>
      <c r="H34" s="28">
        <v>311</v>
      </c>
      <c r="I34" s="30">
        <f>C34/D34+E34/F34+G34/H34</f>
        <v>0.66338956270712934</v>
      </c>
    </row>
    <row r="35" spans="1:9" ht="21.75" customHeight="1">
      <c r="A35" s="43">
        <v>4</v>
      </c>
      <c r="B35" s="3" t="s">
        <v>33</v>
      </c>
      <c r="C35" s="25">
        <v>19</v>
      </c>
      <c r="D35" s="25">
        <v>409</v>
      </c>
      <c r="E35" s="25">
        <v>16</v>
      </c>
      <c r="F35" s="28">
        <v>227</v>
      </c>
      <c r="G35" s="28">
        <v>38</v>
      </c>
      <c r="H35" s="28">
        <v>311</v>
      </c>
      <c r="I35" s="30">
        <f>C35/D35+E35/F35+G35/H35</f>
        <v>0.23912584440080761</v>
      </c>
    </row>
    <row r="36" spans="1:9" ht="15.75">
      <c r="A36" s="20"/>
      <c r="B36" s="19" t="s">
        <v>49</v>
      </c>
      <c r="C36" s="31">
        <f>SUM(C32:C35)</f>
        <v>409</v>
      </c>
      <c r="D36" s="31"/>
      <c r="E36" s="31">
        <f>SUM(E32:E35)</f>
        <v>227</v>
      </c>
      <c r="F36" s="28"/>
      <c r="G36" s="31">
        <f>SUM(G32:G35)</f>
        <v>311</v>
      </c>
      <c r="H36" s="31"/>
      <c r="I36" s="23"/>
    </row>
    <row r="38" spans="1:9" ht="15.75">
      <c r="B38" s="6"/>
      <c r="C38" s="5"/>
    </row>
  </sheetData>
  <sortState ref="B3:I28">
    <sortCondition descending="1" ref="I3:I28"/>
  </sortState>
  <phoneticPr fontId="5" type="noConversion"/>
  <pageMargins left="0.19" right="0.2" top="0.54" bottom="0.42" header="0.25" footer="0.3"/>
  <pageSetup paperSize="9" scale="70" orientation="landscape" verticalDpi="300" r:id="rId1"/>
  <headerFooter alignWithMargins="0"/>
  <rowBreaks count="1" manualBreakCount="1">
    <brk id="2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P37"/>
  <sheetViews>
    <sheetView zoomScale="85" zoomScaleNormal="85" workbookViewId="0">
      <selection activeCell="B2" sqref="B2"/>
    </sheetView>
  </sheetViews>
  <sheetFormatPr defaultRowHeight="12.75"/>
  <cols>
    <col min="1" max="1" width="6.7109375" customWidth="1"/>
    <col min="2" max="2" width="62.5703125" customWidth="1"/>
    <col min="3" max="3" width="19.5703125" customWidth="1"/>
    <col min="4" max="4" width="19" customWidth="1"/>
    <col min="5" max="5" width="19.140625" customWidth="1"/>
    <col min="6" max="6" width="18.42578125" customWidth="1"/>
    <col min="7" max="7" width="13.28515625" customWidth="1"/>
    <col min="8" max="9" width="10.5703125" customWidth="1"/>
    <col min="10" max="10" width="12.28515625" customWidth="1"/>
  </cols>
  <sheetData>
    <row r="2" spans="1:16" ht="40.5">
      <c r="B2" s="58" t="s">
        <v>80</v>
      </c>
      <c r="C2" s="7"/>
      <c r="D2" s="7"/>
      <c r="E2" s="7"/>
      <c r="F2" s="7"/>
      <c r="G2" s="7"/>
    </row>
    <row r="3" spans="1:16" ht="131.25" customHeight="1">
      <c r="A3" s="43" t="s">
        <v>130</v>
      </c>
      <c r="B3" s="55" t="s">
        <v>0</v>
      </c>
      <c r="C3" s="55" t="s">
        <v>158</v>
      </c>
      <c r="D3" s="55" t="s">
        <v>159</v>
      </c>
      <c r="E3" s="55" t="s">
        <v>160</v>
      </c>
      <c r="F3" s="55" t="s">
        <v>161</v>
      </c>
      <c r="G3" s="55" t="s">
        <v>81</v>
      </c>
      <c r="J3" s="153"/>
    </row>
    <row r="4" spans="1:16" ht="16.5" customHeight="1">
      <c r="A4" s="43">
        <v>1</v>
      </c>
      <c r="B4" s="9" t="s">
        <v>14</v>
      </c>
      <c r="C4" s="75">
        <f>16+36+5+15+31+5+5+10+16+21+9</f>
        <v>169</v>
      </c>
      <c r="D4" s="75">
        <f>19+62+1+2+15+33+2</f>
        <v>134</v>
      </c>
      <c r="E4" s="75">
        <v>2895</v>
      </c>
      <c r="F4" s="75">
        <v>1615</v>
      </c>
      <c r="G4" s="96">
        <f t="shared" ref="G4:G29" si="0">C4/E4+D4/F4</f>
        <v>0.14134864744916237</v>
      </c>
      <c r="H4" s="134"/>
      <c r="I4" s="134"/>
      <c r="J4" s="134"/>
    </row>
    <row r="5" spans="1:16" ht="16.5" customHeight="1">
      <c r="A5" s="43">
        <v>2</v>
      </c>
      <c r="B5" s="9" t="s">
        <v>25</v>
      </c>
      <c r="C5" s="75">
        <f>39+24+4+3+1+23+6+2+3+4+1+3</f>
        <v>113</v>
      </c>
      <c r="D5" s="75">
        <f>11+24+1+5+3+16+5+6+4+3+12</f>
        <v>90</v>
      </c>
      <c r="E5" s="75">
        <v>2895</v>
      </c>
      <c r="F5" s="75">
        <v>1615</v>
      </c>
      <c r="G5" s="96">
        <f t="shared" si="0"/>
        <v>9.4760369378184869E-2</v>
      </c>
      <c r="H5" s="134"/>
      <c r="I5" s="134"/>
      <c r="J5" s="134"/>
    </row>
    <row r="6" spans="1:16" ht="16.5" customHeight="1">
      <c r="A6" s="43">
        <v>3</v>
      </c>
      <c r="B6" s="9" t="s">
        <v>26</v>
      </c>
      <c r="C6" s="75">
        <f>40+18+2+6+12+8+4</f>
        <v>90</v>
      </c>
      <c r="D6" s="75">
        <f>20+50+12+3</f>
        <v>85</v>
      </c>
      <c r="E6" s="75">
        <v>2895</v>
      </c>
      <c r="F6" s="75">
        <v>1615</v>
      </c>
      <c r="G6" s="96">
        <f t="shared" si="0"/>
        <v>8.3719661848922822E-2</v>
      </c>
      <c r="H6" s="134"/>
      <c r="I6" s="134"/>
      <c r="J6" s="134"/>
    </row>
    <row r="7" spans="1:16" ht="16.5" customHeight="1">
      <c r="A7" s="43">
        <v>4</v>
      </c>
      <c r="B7" s="9" t="s">
        <v>13</v>
      </c>
      <c r="C7" s="86">
        <f>31+26+1+5+9+4+1+1+2</f>
        <v>80</v>
      </c>
      <c r="D7" s="75">
        <f>5+41+4+11+10+10</f>
        <v>81</v>
      </c>
      <c r="E7" s="75">
        <v>2895</v>
      </c>
      <c r="F7" s="75">
        <v>1615</v>
      </c>
      <c r="G7" s="96">
        <f t="shared" si="0"/>
        <v>7.7788650229658265E-2</v>
      </c>
      <c r="H7" s="134"/>
      <c r="I7" s="134"/>
      <c r="J7" s="134"/>
      <c r="L7" s="136"/>
    </row>
    <row r="8" spans="1:16" ht="16.5" customHeight="1">
      <c r="A8" s="43">
        <v>5</v>
      </c>
      <c r="B8" s="9" t="s">
        <v>19</v>
      </c>
      <c r="C8" s="81">
        <f>31+31+3+3+25+3</f>
        <v>96</v>
      </c>
      <c r="D8" s="81">
        <f>29+33+2+1</f>
        <v>65</v>
      </c>
      <c r="E8" s="75">
        <v>2895</v>
      </c>
      <c r="F8" s="75">
        <v>1615</v>
      </c>
      <c r="G8" s="96">
        <f t="shared" si="0"/>
        <v>7.3408299780233888E-2</v>
      </c>
      <c r="H8" s="134"/>
      <c r="I8" s="134"/>
      <c r="J8" s="134"/>
    </row>
    <row r="9" spans="1:16" ht="16.5" customHeight="1">
      <c r="A9" s="43">
        <v>6</v>
      </c>
      <c r="B9" s="9" t="s">
        <v>11</v>
      </c>
      <c r="C9" s="75">
        <f>42+31+4+4+14+4</f>
        <v>99</v>
      </c>
      <c r="D9" s="81">
        <f>18+29+1</f>
        <v>48</v>
      </c>
      <c r="E9" s="75">
        <v>2895</v>
      </c>
      <c r="F9" s="75">
        <v>1615</v>
      </c>
      <c r="G9" s="96">
        <f t="shared" si="0"/>
        <v>6.3918253420812005E-2</v>
      </c>
      <c r="H9" s="134"/>
      <c r="I9" s="134"/>
      <c r="J9" s="134"/>
      <c r="K9" s="129"/>
      <c r="L9" s="129"/>
      <c r="M9" s="129"/>
      <c r="N9" s="129"/>
      <c r="O9" s="129"/>
      <c r="P9" s="129"/>
    </row>
    <row r="10" spans="1:16" ht="16.5" customHeight="1">
      <c r="A10" s="43">
        <v>7</v>
      </c>
      <c r="B10" s="9" t="s">
        <v>8</v>
      </c>
      <c r="C10" s="75">
        <f>3+20+8+4+5+4+5+9+6</f>
        <v>64</v>
      </c>
      <c r="D10" s="75">
        <f>6+19+11+2+6+3+5</f>
        <v>52</v>
      </c>
      <c r="E10" s="75">
        <v>2895</v>
      </c>
      <c r="F10" s="75">
        <v>1615</v>
      </c>
      <c r="G10" s="96">
        <f t="shared" si="0"/>
        <v>5.4305223589299366E-2</v>
      </c>
      <c r="H10" s="134"/>
      <c r="I10" s="134"/>
      <c r="J10" s="134"/>
      <c r="K10" s="140"/>
      <c r="L10" s="116"/>
      <c r="M10" s="116"/>
      <c r="N10" s="116"/>
      <c r="O10" s="129"/>
      <c r="P10" s="129"/>
    </row>
    <row r="11" spans="1:16" ht="16.5" customHeight="1">
      <c r="A11" s="43">
        <v>8</v>
      </c>
      <c r="B11" s="9" t="s">
        <v>28</v>
      </c>
      <c r="C11" s="75">
        <f>13+26+1+19+6+1</f>
        <v>66</v>
      </c>
      <c r="D11" s="75">
        <f>16+28+1+2</f>
        <v>47</v>
      </c>
      <c r="E11" s="75">
        <v>2895</v>
      </c>
      <c r="F11" s="75">
        <v>1615</v>
      </c>
      <c r="G11" s="96">
        <f t="shared" si="0"/>
        <v>5.1900094643802436E-2</v>
      </c>
      <c r="H11" s="134"/>
      <c r="I11" s="134"/>
      <c r="J11" s="134"/>
      <c r="K11" s="140"/>
      <c r="L11" s="116"/>
      <c r="M11" s="116"/>
      <c r="N11" s="116"/>
      <c r="O11" s="129"/>
      <c r="P11" s="129"/>
    </row>
    <row r="12" spans="1:16" ht="16.5" customHeight="1">
      <c r="A12" s="43">
        <v>9</v>
      </c>
      <c r="B12" s="9" t="s">
        <v>122</v>
      </c>
      <c r="C12" s="75">
        <f>18+9+2+1+1+12+3</f>
        <v>46</v>
      </c>
      <c r="D12" s="75">
        <f>15+36+3</f>
        <v>54</v>
      </c>
      <c r="E12" s="75">
        <v>2895</v>
      </c>
      <c r="F12" s="75">
        <v>1615</v>
      </c>
      <c r="G12" s="96">
        <f t="shared" si="0"/>
        <v>4.9325997101867747E-2</v>
      </c>
      <c r="H12" s="134"/>
      <c r="I12" s="134"/>
      <c r="J12" s="134"/>
      <c r="K12" s="140"/>
      <c r="L12" s="116"/>
      <c r="M12" s="116"/>
      <c r="N12" s="116"/>
      <c r="O12" s="129"/>
      <c r="P12" s="129"/>
    </row>
    <row r="13" spans="1:16" ht="16.5" customHeight="1">
      <c r="A13" s="43">
        <v>10</v>
      </c>
      <c r="B13" s="9" t="s">
        <v>12</v>
      </c>
      <c r="C13" s="75">
        <f>23+10+2+6+6+8+4</f>
        <v>59</v>
      </c>
      <c r="D13" s="75">
        <f>15+19+3</f>
        <v>37</v>
      </c>
      <c r="E13" s="75">
        <v>2895</v>
      </c>
      <c r="F13" s="75">
        <v>1615</v>
      </c>
      <c r="G13" s="96">
        <f t="shared" si="0"/>
        <v>4.3290182175951916E-2</v>
      </c>
      <c r="H13" s="134"/>
      <c r="I13" s="134"/>
      <c r="J13" s="134"/>
      <c r="K13" s="140"/>
      <c r="L13" s="116"/>
      <c r="M13" s="116"/>
      <c r="N13" s="116"/>
      <c r="O13" s="129"/>
      <c r="P13" s="129"/>
    </row>
    <row r="14" spans="1:16" ht="16.5" customHeight="1">
      <c r="A14" s="43">
        <v>11</v>
      </c>
      <c r="B14" s="9" t="s">
        <v>15</v>
      </c>
      <c r="C14" s="75">
        <f>9+23+20</f>
        <v>52</v>
      </c>
      <c r="D14" s="75">
        <v>37</v>
      </c>
      <c r="E14" s="75">
        <v>2895</v>
      </c>
      <c r="F14" s="75">
        <v>1615</v>
      </c>
      <c r="G14" s="96">
        <f t="shared" si="0"/>
        <v>4.0872220172497684E-2</v>
      </c>
      <c r="H14" s="134"/>
      <c r="I14" s="134"/>
      <c r="J14" s="134"/>
      <c r="K14" s="129"/>
      <c r="L14" s="116"/>
      <c r="M14" s="129"/>
      <c r="N14" s="116"/>
      <c r="O14" s="129"/>
      <c r="P14" s="129"/>
    </row>
    <row r="15" spans="1:16" ht="16.5" customHeight="1">
      <c r="A15" s="43">
        <v>12</v>
      </c>
      <c r="B15" s="9" t="s">
        <v>10</v>
      </c>
      <c r="C15" s="86">
        <f>7+1+2+10+1+4+3+2+3+4+2</f>
        <v>39</v>
      </c>
      <c r="D15" s="75">
        <f>6+12+5+9+1</f>
        <v>33</v>
      </c>
      <c r="E15" s="75">
        <v>2895</v>
      </c>
      <c r="F15" s="75">
        <v>1615</v>
      </c>
      <c r="G15" s="96">
        <f t="shared" si="0"/>
        <v>3.3904939123181314E-2</v>
      </c>
      <c r="H15" s="134"/>
      <c r="I15" s="134"/>
      <c r="J15" s="134"/>
      <c r="K15" s="129"/>
      <c r="L15" s="129"/>
      <c r="M15" s="129"/>
      <c r="N15" s="129"/>
      <c r="O15" s="129"/>
      <c r="P15" s="129"/>
    </row>
    <row r="16" spans="1:16" ht="16.5" customHeight="1">
      <c r="A16" s="43">
        <v>13</v>
      </c>
      <c r="B16" s="9" t="s">
        <v>21</v>
      </c>
      <c r="C16" s="81">
        <f>7+9+3+1+1</f>
        <v>21</v>
      </c>
      <c r="D16" s="81">
        <f>4+33+5</f>
        <v>42</v>
      </c>
      <c r="E16" s="75">
        <v>2895</v>
      </c>
      <c r="F16" s="75">
        <v>1615</v>
      </c>
      <c r="G16" s="96">
        <f t="shared" si="0"/>
        <v>3.3260077960827091E-2</v>
      </c>
      <c r="H16" s="134"/>
      <c r="I16" s="134"/>
      <c r="J16" s="134"/>
      <c r="K16" s="129"/>
      <c r="L16" s="129"/>
      <c r="M16" s="129"/>
      <c r="N16" s="129"/>
      <c r="O16" s="129"/>
      <c r="P16" s="129"/>
    </row>
    <row r="17" spans="1:10" ht="16.5" customHeight="1">
      <c r="A17" s="43">
        <v>14</v>
      </c>
      <c r="B17" s="9" t="s">
        <v>20</v>
      </c>
      <c r="C17" s="128">
        <v>38</v>
      </c>
      <c r="D17" s="75">
        <v>29</v>
      </c>
      <c r="E17" s="75">
        <v>2895</v>
      </c>
      <c r="F17" s="75">
        <v>1615</v>
      </c>
      <c r="G17" s="96">
        <f t="shared" si="0"/>
        <v>3.1082735794072197E-2</v>
      </c>
      <c r="H17" s="134"/>
      <c r="I17" s="134"/>
      <c r="J17" s="134"/>
    </row>
    <row r="18" spans="1:10" ht="16.5" customHeight="1">
      <c r="A18" s="43">
        <v>15</v>
      </c>
      <c r="B18" s="9" t="s">
        <v>29</v>
      </c>
      <c r="C18" s="75">
        <v>38</v>
      </c>
      <c r="D18" s="73">
        <v>29</v>
      </c>
      <c r="E18" s="75">
        <v>2895</v>
      </c>
      <c r="F18" s="75">
        <v>1615</v>
      </c>
      <c r="G18" s="96">
        <f t="shared" si="0"/>
        <v>3.1082735794072197E-2</v>
      </c>
      <c r="H18" s="134"/>
      <c r="I18" s="134"/>
      <c r="J18" s="134"/>
    </row>
    <row r="19" spans="1:10" ht="16.5" customHeight="1">
      <c r="A19" s="43">
        <v>16</v>
      </c>
      <c r="B19" s="9" t="s">
        <v>31</v>
      </c>
      <c r="C19" s="75">
        <f>6+3+29+3</f>
        <v>41</v>
      </c>
      <c r="D19" s="75">
        <f>15+6+6</f>
        <v>27</v>
      </c>
      <c r="E19" s="75">
        <v>2895</v>
      </c>
      <c r="F19" s="75">
        <v>1615</v>
      </c>
      <c r="G19" s="96">
        <f t="shared" si="0"/>
        <v>3.0880615131244751E-2</v>
      </c>
      <c r="H19" s="134"/>
      <c r="I19" s="134"/>
      <c r="J19" s="134"/>
    </row>
    <row r="20" spans="1:10" ht="16.5" customHeight="1">
      <c r="A20" s="43">
        <v>17</v>
      </c>
      <c r="B20" s="9" t="s">
        <v>4</v>
      </c>
      <c r="C20" s="81">
        <f>3+15+1+5+6+1+1+5</f>
        <v>37</v>
      </c>
      <c r="D20" s="81">
        <f>3+17+8</f>
        <v>28</v>
      </c>
      <c r="E20" s="75">
        <v>2895</v>
      </c>
      <c r="F20" s="75">
        <v>1615</v>
      </c>
      <c r="G20" s="96">
        <f t="shared" si="0"/>
        <v>3.0118117604281965E-2</v>
      </c>
      <c r="H20" s="134"/>
      <c r="I20" s="134"/>
      <c r="J20" s="134"/>
    </row>
    <row r="21" spans="1:10" ht="16.5" customHeight="1">
      <c r="A21" s="43">
        <v>18</v>
      </c>
      <c r="B21" s="9" t="s">
        <v>5</v>
      </c>
      <c r="C21" s="75">
        <f>5+13+1+5+1</f>
        <v>25</v>
      </c>
      <c r="D21" s="75">
        <v>33</v>
      </c>
      <c r="E21" s="75">
        <v>2895</v>
      </c>
      <c r="F21" s="75">
        <v>1615</v>
      </c>
      <c r="G21" s="96">
        <f t="shared" si="0"/>
        <v>2.9069015116272849E-2</v>
      </c>
      <c r="H21" s="134"/>
      <c r="I21" s="134"/>
      <c r="J21" s="134"/>
    </row>
    <row r="22" spans="1:10" ht="16.5" customHeight="1">
      <c r="A22" s="43">
        <v>19</v>
      </c>
      <c r="B22" s="9" t="s">
        <v>6</v>
      </c>
      <c r="C22" s="75">
        <f>2+20+1+2+10+4</f>
        <v>39</v>
      </c>
      <c r="D22" s="75">
        <f>3+18+2</f>
        <v>23</v>
      </c>
      <c r="E22" s="75">
        <v>2895</v>
      </c>
      <c r="F22" s="75">
        <v>1615</v>
      </c>
      <c r="G22" s="96">
        <f t="shared" si="0"/>
        <v>2.7712988658785031E-2</v>
      </c>
      <c r="H22" s="134"/>
      <c r="I22" s="134"/>
      <c r="J22" s="134"/>
    </row>
    <row r="23" spans="1:10" ht="16.5" customHeight="1">
      <c r="A23" s="43">
        <v>20</v>
      </c>
      <c r="B23" s="9" t="s">
        <v>9</v>
      </c>
      <c r="C23" s="75">
        <f>1+13+5+2+4</f>
        <v>25</v>
      </c>
      <c r="D23" s="75">
        <f>7+8+5+2</f>
        <v>22</v>
      </c>
      <c r="E23" s="75">
        <v>2895</v>
      </c>
      <c r="F23" s="75">
        <v>1615</v>
      </c>
      <c r="G23" s="96">
        <f t="shared" si="0"/>
        <v>2.225786960543694E-2</v>
      </c>
      <c r="H23" s="134"/>
      <c r="I23" s="134"/>
      <c r="J23" s="134"/>
    </row>
    <row r="24" spans="1:10" ht="16.5" customHeight="1">
      <c r="A24" s="43">
        <v>21</v>
      </c>
      <c r="B24" s="9" t="s">
        <v>7</v>
      </c>
      <c r="C24" s="75">
        <f>7+19+1+1+6+22</f>
        <v>56</v>
      </c>
      <c r="D24" s="75">
        <v>0</v>
      </c>
      <c r="E24" s="75">
        <v>2895</v>
      </c>
      <c r="F24" s="75">
        <v>1615</v>
      </c>
      <c r="G24" s="96">
        <f t="shared" si="0"/>
        <v>1.9343696027633851E-2</v>
      </c>
      <c r="H24" s="134"/>
      <c r="I24" s="134"/>
      <c r="J24" s="134"/>
    </row>
    <row r="25" spans="1:10" ht="16.5" customHeight="1">
      <c r="A25" s="43">
        <v>22</v>
      </c>
      <c r="B25" s="9" t="s">
        <v>103</v>
      </c>
      <c r="C25" s="86">
        <f>4+14+1+2</f>
        <v>21</v>
      </c>
      <c r="D25" s="75">
        <f>3+6+1+9</f>
        <v>19</v>
      </c>
      <c r="E25" s="75">
        <v>2895</v>
      </c>
      <c r="F25" s="75">
        <v>1615</v>
      </c>
      <c r="G25" s="96">
        <f t="shared" si="0"/>
        <v>1.9018591892715635E-2</v>
      </c>
      <c r="H25" s="134"/>
      <c r="I25" s="134"/>
      <c r="J25" s="134"/>
    </row>
    <row r="26" spans="1:10" ht="16.5" customHeight="1">
      <c r="A26" s="43">
        <v>23</v>
      </c>
      <c r="B26" s="9" t="s">
        <v>24</v>
      </c>
      <c r="C26" s="75">
        <f>5+1+6+1+2</f>
        <v>15</v>
      </c>
      <c r="D26" s="75">
        <f>5+8+1+5+2</f>
        <v>21</v>
      </c>
      <c r="E26" s="75">
        <v>2895</v>
      </c>
      <c r="F26" s="75">
        <v>1615</v>
      </c>
      <c r="G26" s="96">
        <f t="shared" si="0"/>
        <v>1.8184443125491265E-2</v>
      </c>
      <c r="H26" s="134"/>
      <c r="I26" s="134"/>
      <c r="J26" s="134"/>
    </row>
    <row r="27" spans="1:10" ht="16.5" customHeight="1">
      <c r="A27" s="43">
        <v>24</v>
      </c>
      <c r="B27" s="9" t="s">
        <v>27</v>
      </c>
      <c r="C27" s="75">
        <f>1+10+1+1</f>
        <v>13</v>
      </c>
      <c r="D27" s="75">
        <f>3+5+4</f>
        <v>12</v>
      </c>
      <c r="E27" s="75">
        <v>2895</v>
      </c>
      <c r="F27" s="75">
        <v>1615</v>
      </c>
      <c r="G27" s="96">
        <f t="shared" si="0"/>
        <v>1.1920841420833401E-2</v>
      </c>
      <c r="H27" s="134"/>
      <c r="I27" s="134"/>
      <c r="J27" s="134"/>
    </row>
    <row r="28" spans="1:10" ht="16.5" customHeight="1">
      <c r="A28" s="43">
        <v>25</v>
      </c>
      <c r="B28" s="102" t="s">
        <v>22</v>
      </c>
      <c r="C28" s="75">
        <f>3+15+3+6</f>
        <v>27</v>
      </c>
      <c r="D28" s="75">
        <v>0</v>
      </c>
      <c r="E28" s="75">
        <v>2895</v>
      </c>
      <c r="F28" s="75">
        <v>1615</v>
      </c>
      <c r="G28" s="96">
        <f t="shared" si="0"/>
        <v>9.3264248704663204E-3</v>
      </c>
      <c r="H28" s="134"/>
      <c r="I28" s="134"/>
      <c r="J28" s="134"/>
    </row>
    <row r="29" spans="1:10" ht="16.5" customHeight="1">
      <c r="A29" s="43">
        <v>26</v>
      </c>
      <c r="B29" s="9" t="s">
        <v>17</v>
      </c>
      <c r="C29" s="75">
        <f>4+1</f>
        <v>5</v>
      </c>
      <c r="D29" s="75">
        <v>0</v>
      </c>
      <c r="E29" s="75">
        <v>2895</v>
      </c>
      <c r="F29" s="75">
        <v>1615</v>
      </c>
      <c r="G29" s="96">
        <f t="shared" si="0"/>
        <v>1.7271157167530224E-3</v>
      </c>
      <c r="H29" s="134"/>
      <c r="I29" s="134"/>
      <c r="J29" s="134"/>
    </row>
    <row r="30" spans="1:10" ht="15.75">
      <c r="B30" s="19" t="s">
        <v>49</v>
      </c>
      <c r="C30" s="95">
        <f>SUM(C4:C29)</f>
        <v>1374</v>
      </c>
      <c r="D30" s="95">
        <f>SUM(D4:D29)</f>
        <v>1048</v>
      </c>
      <c r="E30" s="95"/>
      <c r="F30" s="95"/>
      <c r="G30" s="18"/>
    </row>
    <row r="31" spans="1:10" ht="40.5">
      <c r="A31" s="37"/>
      <c r="B31" s="70" t="s">
        <v>79</v>
      </c>
      <c r="C31" s="42"/>
      <c r="D31" s="42"/>
      <c r="E31" s="42"/>
      <c r="F31" s="42"/>
      <c r="G31" s="42"/>
    </row>
    <row r="32" spans="1:10" ht="128.25" customHeight="1">
      <c r="A32" s="20"/>
      <c r="B32" s="55" t="s">
        <v>41</v>
      </c>
      <c r="C32" s="55" t="s">
        <v>158</v>
      </c>
      <c r="D32" s="55" t="s">
        <v>159</v>
      </c>
      <c r="E32" s="55" t="s">
        <v>160</v>
      </c>
      <c r="F32" s="55" t="s">
        <v>161</v>
      </c>
      <c r="G32" s="55" t="s">
        <v>81</v>
      </c>
    </row>
    <row r="33" spans="1:13" ht="20.25" customHeight="1">
      <c r="A33" s="43">
        <v>1</v>
      </c>
      <c r="B33" s="3" t="s">
        <v>34</v>
      </c>
      <c r="C33" s="25">
        <v>486</v>
      </c>
      <c r="D33" s="25">
        <v>364</v>
      </c>
      <c r="E33" s="25">
        <v>2895</v>
      </c>
      <c r="F33" s="25">
        <v>1615</v>
      </c>
      <c r="G33" s="13">
        <f>C33/E33+D33/F33</f>
        <v>0.39326264457241855</v>
      </c>
      <c r="L33" s="29"/>
      <c r="M33" s="29"/>
    </row>
    <row r="34" spans="1:13" ht="30.75" customHeight="1">
      <c r="A34" s="43">
        <v>2</v>
      </c>
      <c r="B34" s="3" t="s">
        <v>36</v>
      </c>
      <c r="C34" s="25">
        <v>379</v>
      </c>
      <c r="D34" s="25">
        <v>250</v>
      </c>
      <c r="E34" s="25">
        <v>2895</v>
      </c>
      <c r="F34" s="25">
        <v>1615</v>
      </c>
      <c r="G34" s="13">
        <f>C34/E34+D34/F34</f>
        <v>0.2857141329397862</v>
      </c>
    </row>
    <row r="35" spans="1:13" ht="36.75" customHeight="1">
      <c r="A35" s="43">
        <v>3</v>
      </c>
      <c r="B35" s="3" t="s">
        <v>35</v>
      </c>
      <c r="C35" s="25">
        <v>244</v>
      </c>
      <c r="D35" s="25">
        <v>245</v>
      </c>
      <c r="E35" s="25">
        <v>2895</v>
      </c>
      <c r="F35" s="25">
        <v>1615</v>
      </c>
      <c r="G35" s="13">
        <f>C35/E35+D35/F35</f>
        <v>0.23598603335525647</v>
      </c>
    </row>
    <row r="36" spans="1:13" ht="29.25" customHeight="1">
      <c r="A36" s="43">
        <v>4</v>
      </c>
      <c r="B36" s="3" t="s">
        <v>33</v>
      </c>
      <c r="C36" s="28">
        <v>265</v>
      </c>
      <c r="D36" s="28">
        <v>189</v>
      </c>
      <c r="E36" s="25">
        <v>2895</v>
      </c>
      <c r="F36" s="25">
        <v>1615</v>
      </c>
      <c r="G36" s="13">
        <f>C36/E36+D36/F36</f>
        <v>0.20856499676499995</v>
      </c>
    </row>
    <row r="37" spans="1:13" ht="20.25" customHeight="1">
      <c r="A37" s="43"/>
      <c r="B37" s="19" t="s">
        <v>49</v>
      </c>
      <c r="C37" s="31">
        <f>SUM(C33:C36)</f>
        <v>1374</v>
      </c>
      <c r="D37" s="31">
        <f>SUM(D33:D36)</f>
        <v>1048</v>
      </c>
      <c r="E37" s="31"/>
      <c r="F37" s="31"/>
      <c r="G37" s="61"/>
    </row>
  </sheetData>
  <sortState ref="B33:G36">
    <sortCondition descending="1" ref="G33:G36"/>
  </sortState>
  <phoneticPr fontId="5" type="noConversion"/>
  <pageMargins left="0.35" right="0.19" top="0.35433070866141736" bottom="0.31496062992125984" header="0.23622047244094491" footer="0.31496062992125984"/>
  <pageSetup paperSize="9" scale="75" orientation="landscape" verticalDpi="300" r:id="rId1"/>
  <headerFooter alignWithMargins="0"/>
  <cellWatches>
    <cellWatch r="B1"/>
  </cellWatches>
</worksheet>
</file>

<file path=xl/worksheets/sheet9.xml><?xml version="1.0" encoding="utf-8"?>
<worksheet xmlns="http://schemas.openxmlformats.org/spreadsheetml/2006/main" xmlns:r="http://schemas.openxmlformats.org/officeDocument/2006/relationships">
  <dimension ref="A2:M39"/>
  <sheetViews>
    <sheetView topLeftCell="B1" zoomScale="85" zoomScaleNormal="85" workbookViewId="0">
      <selection activeCell="B2" sqref="B2"/>
    </sheetView>
  </sheetViews>
  <sheetFormatPr defaultRowHeight="12.75"/>
  <cols>
    <col min="1" max="1" width="7.42578125" bestFit="1" customWidth="1"/>
    <col min="2" max="2" width="69.140625" customWidth="1"/>
    <col min="3" max="3" width="22.5703125" customWidth="1"/>
    <col min="4" max="4" width="21.85546875" customWidth="1"/>
    <col min="5" max="8" width="22.42578125" customWidth="1"/>
    <col min="9" max="9" width="17" customWidth="1"/>
  </cols>
  <sheetData>
    <row r="2" spans="1:12" ht="36.75" customHeight="1">
      <c r="B2" s="58" t="s">
        <v>154</v>
      </c>
      <c r="C2" s="7"/>
      <c r="D2" s="7"/>
      <c r="E2" s="7"/>
      <c r="F2" s="7"/>
      <c r="G2" s="7"/>
      <c r="H2" s="7"/>
    </row>
    <row r="3" spans="1:12" ht="162.75" customHeight="1">
      <c r="A3" s="43" t="s">
        <v>92</v>
      </c>
      <c r="B3" s="55" t="s">
        <v>0</v>
      </c>
      <c r="C3" s="55" t="s">
        <v>162</v>
      </c>
      <c r="D3" s="55" t="s">
        <v>163</v>
      </c>
      <c r="E3" s="55" t="s">
        <v>164</v>
      </c>
      <c r="F3" s="55" t="s">
        <v>165</v>
      </c>
      <c r="G3" s="55" t="s">
        <v>160</v>
      </c>
      <c r="H3" s="55" t="s">
        <v>161</v>
      </c>
      <c r="I3" s="55" t="s">
        <v>82</v>
      </c>
      <c r="J3" s="8"/>
      <c r="K3" s="8"/>
    </row>
    <row r="4" spans="1:12" ht="15.95" customHeight="1">
      <c r="A4" s="43">
        <v>1</v>
      </c>
      <c r="B4" s="9" t="s">
        <v>14</v>
      </c>
      <c r="C4" s="75">
        <f>36+5+31+5+16+9</f>
        <v>102</v>
      </c>
      <c r="D4" s="75">
        <f>62+2+33+2</f>
        <v>99</v>
      </c>
      <c r="E4" s="75">
        <f>16+15+5+10+21</f>
        <v>67</v>
      </c>
      <c r="F4" s="75">
        <f>19+1+15</f>
        <v>35</v>
      </c>
      <c r="G4" s="74">
        <v>2895</v>
      </c>
      <c r="H4" s="74">
        <v>1615</v>
      </c>
      <c r="I4" s="53">
        <f t="shared" ref="I4:I29" si="0">C4/(G4-E4)+D4/(H4-F4)</f>
        <v>9.8726120351637331E-2</v>
      </c>
      <c r="J4" s="134"/>
      <c r="K4" s="134"/>
      <c r="L4" s="134"/>
    </row>
    <row r="5" spans="1:12" ht="15.95" customHeight="1">
      <c r="A5" s="43">
        <v>2</v>
      </c>
      <c r="B5" s="9" t="s">
        <v>13</v>
      </c>
      <c r="C5" s="75">
        <f>26+1+9+1+2</f>
        <v>39</v>
      </c>
      <c r="D5" s="75">
        <f>41+4+11+10</f>
        <v>66</v>
      </c>
      <c r="E5" s="75">
        <f>31+5+4+1</f>
        <v>41</v>
      </c>
      <c r="F5" s="75">
        <f>5+10</f>
        <v>15</v>
      </c>
      <c r="G5" s="74">
        <v>2895</v>
      </c>
      <c r="H5" s="74">
        <v>1615</v>
      </c>
      <c r="I5" s="53">
        <f t="shared" si="0"/>
        <v>5.4915031534688158E-2</v>
      </c>
      <c r="J5" s="134"/>
      <c r="K5" s="134"/>
      <c r="L5" s="134"/>
    </row>
    <row r="6" spans="1:12" ht="15.95" customHeight="1">
      <c r="A6" s="43">
        <v>3</v>
      </c>
      <c r="B6" s="9" t="s">
        <v>26</v>
      </c>
      <c r="C6" s="73">
        <f>18+6+8+4</f>
        <v>36</v>
      </c>
      <c r="D6" s="75">
        <f>50+12+3</f>
        <v>65</v>
      </c>
      <c r="E6" s="73">
        <f>40+2+12</f>
        <v>54</v>
      </c>
      <c r="F6" s="73">
        <v>20</v>
      </c>
      <c r="G6" s="74">
        <v>2895</v>
      </c>
      <c r="H6" s="74">
        <v>1615</v>
      </c>
      <c r="I6" s="53">
        <f t="shared" si="0"/>
        <v>5.3423945606154391E-2</v>
      </c>
      <c r="J6" s="134"/>
      <c r="K6" s="134"/>
      <c r="L6" s="134"/>
    </row>
    <row r="7" spans="1:12" ht="15.95" customHeight="1">
      <c r="A7" s="43">
        <v>4</v>
      </c>
      <c r="B7" s="9" t="s">
        <v>25</v>
      </c>
      <c r="C7" s="128">
        <f>24+4+1+4+6+2</f>
        <v>41</v>
      </c>
      <c r="D7" s="75">
        <f>24+1+5+3+5+12+4</f>
        <v>54</v>
      </c>
      <c r="E7" s="73">
        <f>39+3+3+1+23+3</f>
        <v>72</v>
      </c>
      <c r="F7" s="73">
        <f>11+16+6+3</f>
        <v>36</v>
      </c>
      <c r="G7" s="74">
        <v>2895</v>
      </c>
      <c r="H7" s="74">
        <v>1615</v>
      </c>
      <c r="I7" s="53">
        <f t="shared" si="0"/>
        <v>4.8722416538175849E-2</v>
      </c>
      <c r="J7" s="134"/>
      <c r="K7" s="134"/>
      <c r="L7" s="134"/>
    </row>
    <row r="8" spans="1:12" ht="15.95" customHeight="1">
      <c r="A8" s="43">
        <v>5</v>
      </c>
      <c r="B8" s="9" t="s">
        <v>8</v>
      </c>
      <c r="C8" s="81">
        <f>20+8+4+5+6+5+9</f>
        <v>57</v>
      </c>
      <c r="D8" s="81">
        <f>19+11+6+3+5</f>
        <v>44</v>
      </c>
      <c r="E8" s="74">
        <f>3+4</f>
        <v>7</v>
      </c>
      <c r="F8" s="74">
        <f>6+2</f>
        <v>8</v>
      </c>
      <c r="G8" s="74">
        <v>2895</v>
      </c>
      <c r="H8" s="74">
        <v>1615</v>
      </c>
      <c r="I8" s="53">
        <f t="shared" si="0"/>
        <v>4.711705367962532E-2</v>
      </c>
      <c r="J8" s="134"/>
      <c r="K8" s="134"/>
      <c r="L8" s="134"/>
    </row>
    <row r="9" spans="1:12" ht="15.95" customHeight="1">
      <c r="A9" s="43">
        <v>6</v>
      </c>
      <c r="B9" s="9" t="s">
        <v>19</v>
      </c>
      <c r="C9" s="75">
        <f>31+3+3</f>
        <v>37</v>
      </c>
      <c r="D9" s="75">
        <f>33+2+1</f>
        <v>36</v>
      </c>
      <c r="E9" s="75">
        <f>31+3+25</f>
        <v>59</v>
      </c>
      <c r="F9" s="75">
        <v>29</v>
      </c>
      <c r="G9" s="74">
        <v>2895</v>
      </c>
      <c r="H9" s="74">
        <v>1615</v>
      </c>
      <c r="I9" s="53">
        <f t="shared" si="0"/>
        <v>3.5745157291320211E-2</v>
      </c>
      <c r="J9" s="134"/>
      <c r="K9" s="134"/>
      <c r="L9" s="134"/>
    </row>
    <row r="10" spans="1:12" ht="15.95" customHeight="1">
      <c r="A10" s="43">
        <v>7</v>
      </c>
      <c r="B10" s="9" t="s">
        <v>11</v>
      </c>
      <c r="C10" s="75">
        <f>31+4+4</f>
        <v>39</v>
      </c>
      <c r="D10" s="81">
        <f>29</f>
        <v>29</v>
      </c>
      <c r="E10" s="75">
        <f>42+4+14</f>
        <v>60</v>
      </c>
      <c r="F10" s="75">
        <f>18+1</f>
        <v>19</v>
      </c>
      <c r="G10" s="74">
        <v>2895</v>
      </c>
      <c r="H10" s="74">
        <v>1615</v>
      </c>
      <c r="I10" s="53">
        <f t="shared" si="0"/>
        <v>3.1927039821776665E-2</v>
      </c>
      <c r="J10" s="134"/>
      <c r="K10" s="134"/>
      <c r="L10" s="134"/>
    </row>
    <row r="11" spans="1:12" ht="15.95" customHeight="1">
      <c r="A11" s="43">
        <v>8</v>
      </c>
      <c r="B11" s="9" t="s">
        <v>28</v>
      </c>
      <c r="C11" s="75">
        <f>26+1+6+1</f>
        <v>34</v>
      </c>
      <c r="D11" s="75">
        <f>28+2</f>
        <v>30</v>
      </c>
      <c r="E11" s="73">
        <f>13+19</f>
        <v>32</v>
      </c>
      <c r="F11" s="73">
        <f>16+1</f>
        <v>17</v>
      </c>
      <c r="G11" s="74">
        <v>2895</v>
      </c>
      <c r="H11" s="74">
        <v>1615</v>
      </c>
      <c r="I11" s="53">
        <f t="shared" si="0"/>
        <v>3.0649121740981677E-2</v>
      </c>
      <c r="J11" s="134"/>
      <c r="K11" s="134"/>
      <c r="L11" s="134"/>
    </row>
    <row r="12" spans="1:12" ht="15.95" customHeight="1">
      <c r="A12" s="43">
        <v>9</v>
      </c>
      <c r="B12" s="9" t="s">
        <v>122</v>
      </c>
      <c r="C12" s="75">
        <f>9+2+1+3</f>
        <v>15</v>
      </c>
      <c r="D12" s="81">
        <f>36+3</f>
        <v>39</v>
      </c>
      <c r="E12" s="75">
        <f>18+1+12</f>
        <v>31</v>
      </c>
      <c r="F12" s="75">
        <v>15</v>
      </c>
      <c r="G12" s="74">
        <v>2895</v>
      </c>
      <c r="H12" s="74">
        <v>1615</v>
      </c>
      <c r="I12" s="53">
        <f t="shared" si="0"/>
        <v>2.9612430167597764E-2</v>
      </c>
      <c r="J12" s="134"/>
      <c r="K12" s="134"/>
      <c r="L12" s="134"/>
    </row>
    <row r="13" spans="1:12" ht="15.95" customHeight="1">
      <c r="A13" s="43">
        <v>10</v>
      </c>
      <c r="B13" s="9" t="s">
        <v>21</v>
      </c>
      <c r="C13" s="75">
        <f>9+3+1+1</f>
        <v>14</v>
      </c>
      <c r="D13" s="75">
        <f>33+5</f>
        <v>38</v>
      </c>
      <c r="E13" s="75">
        <f>7</f>
        <v>7</v>
      </c>
      <c r="F13" s="75">
        <f>4</f>
        <v>4</v>
      </c>
      <c r="G13" s="74">
        <v>2895</v>
      </c>
      <c r="H13" s="74">
        <v>1615</v>
      </c>
      <c r="I13" s="53">
        <f t="shared" si="0"/>
        <v>2.8435479073062445E-2</v>
      </c>
      <c r="J13" s="134"/>
      <c r="K13" s="134"/>
      <c r="L13" s="134"/>
    </row>
    <row r="14" spans="1:12" ht="15.95" customHeight="1">
      <c r="A14" s="43">
        <v>11</v>
      </c>
      <c r="B14" s="9" t="s">
        <v>15</v>
      </c>
      <c r="C14" s="73">
        <f>23+7</f>
        <v>30</v>
      </c>
      <c r="D14" s="75">
        <f>23+4</f>
        <v>27</v>
      </c>
      <c r="E14" s="75">
        <f>9+13</f>
        <v>22</v>
      </c>
      <c r="F14" s="75">
        <v>10</v>
      </c>
      <c r="G14" s="74">
        <v>2895</v>
      </c>
      <c r="H14" s="74">
        <v>1615</v>
      </c>
      <c r="I14" s="53">
        <f t="shared" si="0"/>
        <v>2.7264476547683721E-2</v>
      </c>
      <c r="J14" s="134"/>
      <c r="K14" s="134"/>
      <c r="L14" s="134"/>
    </row>
    <row r="15" spans="1:12" ht="15.95" customHeight="1">
      <c r="A15" s="43">
        <v>12</v>
      </c>
      <c r="B15" s="9" t="s">
        <v>4</v>
      </c>
      <c r="C15" s="86">
        <f>15+1+5+6+1+5</f>
        <v>33</v>
      </c>
      <c r="D15" s="81">
        <f>17+8</f>
        <v>25</v>
      </c>
      <c r="E15" s="73">
        <f>3+1</f>
        <v>4</v>
      </c>
      <c r="F15" s="73">
        <f>3</f>
        <v>3</v>
      </c>
      <c r="G15" s="74">
        <v>2895</v>
      </c>
      <c r="H15" s="74">
        <v>1615</v>
      </c>
      <c r="I15" s="53">
        <f t="shared" si="0"/>
        <v>2.6923420249203269E-2</v>
      </c>
      <c r="J15" s="134"/>
      <c r="K15" s="134"/>
      <c r="L15" s="134"/>
    </row>
    <row r="16" spans="1:12" ht="15.95" customHeight="1">
      <c r="A16" s="43">
        <v>13</v>
      </c>
      <c r="B16" s="9" t="s">
        <v>6</v>
      </c>
      <c r="C16" s="75">
        <f>20+1+10+4</f>
        <v>35</v>
      </c>
      <c r="D16" s="75">
        <f>18+2</f>
        <v>20</v>
      </c>
      <c r="E16" s="75">
        <f>2+2</f>
        <v>4</v>
      </c>
      <c r="F16" s="75">
        <v>3</v>
      </c>
      <c r="G16" s="74">
        <v>2895</v>
      </c>
      <c r="H16" s="74">
        <v>1615</v>
      </c>
      <c r="I16" s="53">
        <f t="shared" si="0"/>
        <v>2.4513485421085203E-2</v>
      </c>
      <c r="J16" s="134"/>
      <c r="K16" s="134"/>
      <c r="L16" s="134"/>
    </row>
    <row r="17" spans="1:13" ht="15.95" customHeight="1">
      <c r="A17" s="43">
        <v>14</v>
      </c>
      <c r="B17" s="9" t="s">
        <v>10</v>
      </c>
      <c r="C17" s="86">
        <f>7+1+10+1+3+2+4+2</f>
        <v>30</v>
      </c>
      <c r="D17" s="75">
        <f>12+9+1</f>
        <v>22</v>
      </c>
      <c r="E17" s="75">
        <f>2+4+3</f>
        <v>9</v>
      </c>
      <c r="F17" s="75">
        <f>6+5</f>
        <v>11</v>
      </c>
      <c r="G17" s="74">
        <v>2895</v>
      </c>
      <c r="H17" s="74">
        <v>1615</v>
      </c>
      <c r="I17" s="53">
        <f t="shared" si="0"/>
        <v>2.4110721118202415E-2</v>
      </c>
      <c r="J17" s="134"/>
      <c r="K17" s="134"/>
      <c r="L17" s="134"/>
    </row>
    <row r="18" spans="1:13" ht="15.95" customHeight="1">
      <c r="A18" s="43">
        <v>15</v>
      </c>
      <c r="B18" s="9" t="s">
        <v>12</v>
      </c>
      <c r="C18" s="75">
        <f>10+6+8+4</f>
        <v>28</v>
      </c>
      <c r="D18" s="81">
        <f>19+3</f>
        <v>22</v>
      </c>
      <c r="E18" s="73">
        <f>23+2+6</f>
        <v>31</v>
      </c>
      <c r="F18" s="73">
        <f>15</f>
        <v>15</v>
      </c>
      <c r="G18" s="74">
        <v>2895</v>
      </c>
      <c r="H18" s="74">
        <v>1615</v>
      </c>
      <c r="I18" s="53">
        <f t="shared" si="0"/>
        <v>2.3526536312849164E-2</v>
      </c>
      <c r="J18" s="154"/>
      <c r="K18" s="134"/>
      <c r="L18" s="134"/>
    </row>
    <row r="19" spans="1:13" ht="15.95" customHeight="1">
      <c r="A19" s="43">
        <v>16</v>
      </c>
      <c r="B19" s="9" t="s">
        <v>5</v>
      </c>
      <c r="C19" s="74">
        <f>13+5+1</f>
        <v>19</v>
      </c>
      <c r="D19" s="75">
        <v>24</v>
      </c>
      <c r="E19" s="74">
        <f>5+1</f>
        <v>6</v>
      </c>
      <c r="F19" s="74">
        <v>9</v>
      </c>
      <c r="G19" s="74">
        <v>2895</v>
      </c>
      <c r="H19" s="74">
        <v>1615</v>
      </c>
      <c r="I19" s="53">
        <f t="shared" si="0"/>
        <v>2.1520630277511599E-2</v>
      </c>
      <c r="J19" s="134"/>
      <c r="K19" s="134"/>
      <c r="L19" s="134"/>
    </row>
    <row r="20" spans="1:13" ht="15.95" customHeight="1">
      <c r="A20" s="43">
        <v>17</v>
      </c>
      <c r="B20" s="9" t="s">
        <v>9</v>
      </c>
      <c r="C20" s="73">
        <f>13+5+4</f>
        <v>22</v>
      </c>
      <c r="D20" s="73">
        <f>8+5+2</f>
        <v>15</v>
      </c>
      <c r="E20" s="75">
        <f>1+2</f>
        <v>3</v>
      </c>
      <c r="F20" s="75">
        <f>7</f>
        <v>7</v>
      </c>
      <c r="G20" s="74">
        <v>2895</v>
      </c>
      <c r="H20" s="74">
        <v>1615</v>
      </c>
      <c r="I20" s="53">
        <f t="shared" si="0"/>
        <v>1.6935550463450383E-2</v>
      </c>
      <c r="J20" s="134"/>
      <c r="K20" s="134"/>
      <c r="L20" s="134"/>
    </row>
    <row r="21" spans="1:13" ht="15.95" customHeight="1">
      <c r="A21" s="43">
        <v>18</v>
      </c>
      <c r="B21" s="9" t="s">
        <v>103</v>
      </c>
      <c r="C21" s="75">
        <f>14+1+2</f>
        <v>17</v>
      </c>
      <c r="D21" s="75">
        <f>6+1+9</f>
        <v>16</v>
      </c>
      <c r="E21" s="75">
        <f>4</f>
        <v>4</v>
      </c>
      <c r="F21" s="75">
        <v>3</v>
      </c>
      <c r="G21" s="74">
        <v>2895</v>
      </c>
      <c r="H21" s="74">
        <v>1615</v>
      </c>
      <c r="I21" s="53">
        <f t="shared" si="0"/>
        <v>1.5805876541641596E-2</v>
      </c>
      <c r="J21" s="134"/>
      <c r="K21" s="134"/>
      <c r="L21" s="134"/>
    </row>
    <row r="22" spans="1:13" ht="15.95" customHeight="1">
      <c r="A22" s="43">
        <v>19</v>
      </c>
      <c r="B22" s="9" t="s">
        <v>20</v>
      </c>
      <c r="C22" s="75">
        <v>12</v>
      </c>
      <c r="D22" s="75">
        <v>17</v>
      </c>
      <c r="E22" s="75">
        <v>27</v>
      </c>
      <c r="F22" s="75">
        <v>12</v>
      </c>
      <c r="G22" s="74">
        <v>2895</v>
      </c>
      <c r="H22" s="74">
        <v>1615</v>
      </c>
      <c r="I22" s="53">
        <f t="shared" si="0"/>
        <v>1.4789215827018899E-2</v>
      </c>
      <c r="J22" s="134"/>
      <c r="K22" s="134"/>
      <c r="L22" s="134"/>
    </row>
    <row r="23" spans="1:13" ht="15.95" customHeight="1">
      <c r="A23" s="43">
        <v>20</v>
      </c>
      <c r="B23" s="9" t="s">
        <v>7</v>
      </c>
      <c r="C23" s="73">
        <f>19+1+22</f>
        <v>42</v>
      </c>
      <c r="D23" s="75">
        <v>0</v>
      </c>
      <c r="E23" s="75">
        <f>7+1+6</f>
        <v>14</v>
      </c>
      <c r="F23" s="75">
        <v>0</v>
      </c>
      <c r="G23" s="74">
        <v>2895</v>
      </c>
      <c r="H23" s="74">
        <v>1615</v>
      </c>
      <c r="I23" s="53">
        <f t="shared" si="0"/>
        <v>1.4578271433530025E-2</v>
      </c>
      <c r="J23" s="134"/>
      <c r="K23" s="134"/>
      <c r="L23" s="134"/>
    </row>
    <row r="24" spans="1:13" ht="15.95" customHeight="1">
      <c r="A24" s="43">
        <v>21</v>
      </c>
      <c r="B24" s="9" t="s">
        <v>29</v>
      </c>
      <c r="C24" s="75">
        <v>11</v>
      </c>
      <c r="D24" s="75">
        <v>17</v>
      </c>
      <c r="E24" s="75">
        <v>26</v>
      </c>
      <c r="F24" s="75">
        <v>12</v>
      </c>
      <c r="G24" s="74">
        <v>2895</v>
      </c>
      <c r="H24" s="74">
        <v>1615</v>
      </c>
      <c r="I24" s="53">
        <f t="shared" si="0"/>
        <v>1.4439203941198612E-2</v>
      </c>
      <c r="J24" s="134"/>
      <c r="K24" s="134"/>
      <c r="L24" s="134"/>
    </row>
    <row r="25" spans="1:13" ht="15.95" customHeight="1">
      <c r="A25" s="43">
        <v>22</v>
      </c>
      <c r="B25" s="9" t="s">
        <v>27</v>
      </c>
      <c r="C25" s="86">
        <f>10+1+1</f>
        <v>12</v>
      </c>
      <c r="D25" s="75">
        <f>5+4</f>
        <v>9</v>
      </c>
      <c r="E25" s="75">
        <f>1</f>
        <v>1</v>
      </c>
      <c r="F25" s="75">
        <v>3</v>
      </c>
      <c r="G25" s="74">
        <v>2895</v>
      </c>
      <c r="H25" s="74">
        <v>1615</v>
      </c>
      <c r="I25" s="53">
        <f t="shared" si="0"/>
        <v>9.7296365716010372E-3</v>
      </c>
      <c r="J25" s="134"/>
      <c r="K25" s="134"/>
      <c r="L25" s="134"/>
    </row>
    <row r="26" spans="1:13" ht="15.95" customHeight="1">
      <c r="A26" s="43">
        <v>23</v>
      </c>
      <c r="B26" s="9" t="s">
        <v>31</v>
      </c>
      <c r="C26" s="75">
        <f>3+3</f>
        <v>6</v>
      </c>
      <c r="D26" s="75">
        <f>6+6</f>
        <v>12</v>
      </c>
      <c r="E26" s="75">
        <f>6+29</f>
        <v>35</v>
      </c>
      <c r="F26" s="75">
        <f>15</f>
        <v>15</v>
      </c>
      <c r="G26" s="74">
        <v>2895</v>
      </c>
      <c r="H26" s="74">
        <v>1615</v>
      </c>
      <c r="I26" s="53">
        <f t="shared" si="0"/>
        <v>9.5979020979020981E-3</v>
      </c>
      <c r="J26" s="134"/>
      <c r="K26" s="134"/>
      <c r="L26" s="134"/>
    </row>
    <row r="27" spans="1:13" ht="15.95" customHeight="1">
      <c r="A27" s="43">
        <v>24</v>
      </c>
      <c r="B27" s="102" t="s">
        <v>22</v>
      </c>
      <c r="C27" s="75">
        <f>15+3+6</f>
        <v>24</v>
      </c>
      <c r="D27" s="75">
        <v>0</v>
      </c>
      <c r="E27" s="75">
        <f>3</f>
        <v>3</v>
      </c>
      <c r="F27" s="75">
        <v>0</v>
      </c>
      <c r="G27" s="74">
        <v>2895</v>
      </c>
      <c r="H27" s="74">
        <v>1615</v>
      </c>
      <c r="I27" s="53">
        <f t="shared" si="0"/>
        <v>8.2987551867219917E-3</v>
      </c>
      <c r="J27" s="134"/>
      <c r="K27" s="134"/>
      <c r="L27" s="134"/>
    </row>
    <row r="28" spans="1:13" ht="15.95" customHeight="1">
      <c r="A28" s="43">
        <v>25</v>
      </c>
      <c r="B28" s="9" t="s">
        <v>24</v>
      </c>
      <c r="C28" s="75">
        <f>1+1</f>
        <v>2</v>
      </c>
      <c r="D28" s="75">
        <f>8+1+2</f>
        <v>11</v>
      </c>
      <c r="E28" s="75">
        <f>5+6+2</f>
        <v>13</v>
      </c>
      <c r="F28" s="75">
        <f>5+5</f>
        <v>10</v>
      </c>
      <c r="G28" s="74">
        <v>2895</v>
      </c>
      <c r="H28" s="74">
        <v>1615</v>
      </c>
      <c r="I28" s="53">
        <f t="shared" si="0"/>
        <v>7.5475450805407287E-3</v>
      </c>
      <c r="J28" s="134"/>
      <c r="K28" s="134"/>
      <c r="L28" s="134"/>
    </row>
    <row r="29" spans="1:13" ht="15.95" customHeight="1">
      <c r="A29" s="43">
        <v>26</v>
      </c>
      <c r="B29" s="9" t="s">
        <v>17</v>
      </c>
      <c r="C29" s="81">
        <v>1</v>
      </c>
      <c r="D29" s="75">
        <v>0</v>
      </c>
      <c r="E29" s="74">
        <v>4</v>
      </c>
      <c r="F29" s="74">
        <v>0</v>
      </c>
      <c r="G29" s="74">
        <v>2895</v>
      </c>
      <c r="H29" s="74">
        <v>1615</v>
      </c>
      <c r="I29" s="53">
        <f t="shared" si="0"/>
        <v>3.4590107229332413E-4</v>
      </c>
      <c r="J29" s="134"/>
      <c r="K29" s="134"/>
      <c r="L29" s="134"/>
      <c r="M29" s="10"/>
    </row>
    <row r="30" spans="1:13" ht="15.75">
      <c r="B30" s="19" t="s">
        <v>49</v>
      </c>
      <c r="C30" s="95">
        <f>SUM(C4:C29)</f>
        <v>738</v>
      </c>
      <c r="D30" s="95">
        <f t="shared" ref="D30:F30" si="1">SUM(D4:D29)</f>
        <v>737</v>
      </c>
      <c r="E30" s="95">
        <f t="shared" si="1"/>
        <v>636</v>
      </c>
      <c r="F30" s="95">
        <f t="shared" si="1"/>
        <v>311</v>
      </c>
      <c r="G30" s="95"/>
      <c r="H30" s="95"/>
      <c r="I30" s="15"/>
    </row>
    <row r="31" spans="1:13" ht="59.25" customHeight="1">
      <c r="A31" s="37"/>
      <c r="B31" s="70" t="s">
        <v>118</v>
      </c>
      <c r="C31" s="42"/>
      <c r="D31" s="42"/>
      <c r="E31" s="42"/>
      <c r="F31" s="42"/>
      <c r="G31" s="42"/>
      <c r="H31" s="42"/>
      <c r="I31" s="37"/>
    </row>
    <row r="32" spans="1:13" ht="153.75" customHeight="1">
      <c r="A32" s="43" t="s">
        <v>92</v>
      </c>
      <c r="B32" s="55" t="s">
        <v>41</v>
      </c>
      <c r="C32" s="55" t="s">
        <v>162</v>
      </c>
      <c r="D32" s="55" t="s">
        <v>163</v>
      </c>
      <c r="E32" s="55" t="s">
        <v>164</v>
      </c>
      <c r="F32" s="55" t="s">
        <v>165</v>
      </c>
      <c r="G32" s="55" t="s">
        <v>160</v>
      </c>
      <c r="H32" s="55" t="s">
        <v>161</v>
      </c>
      <c r="I32" s="55" t="s">
        <v>82</v>
      </c>
    </row>
    <row r="33" spans="1:9" ht="30.75" customHeight="1">
      <c r="A33" s="43">
        <v>1</v>
      </c>
      <c r="B33" s="3" t="s">
        <v>34</v>
      </c>
      <c r="C33" s="25">
        <v>263</v>
      </c>
      <c r="D33" s="25">
        <v>298</v>
      </c>
      <c r="E33" s="25">
        <v>244</v>
      </c>
      <c r="F33" s="25">
        <v>108</v>
      </c>
      <c r="G33" s="25">
        <v>2895</v>
      </c>
      <c r="H33" s="25">
        <v>1615</v>
      </c>
      <c r="I33" s="23">
        <f>C33/(G33-E33)+D33/(H33-F33)</f>
        <v>0.29695170807325155</v>
      </c>
    </row>
    <row r="34" spans="1:9" ht="21.75" customHeight="1">
      <c r="A34" s="43">
        <v>2</v>
      </c>
      <c r="B34" s="3" t="s">
        <v>33</v>
      </c>
      <c r="C34" s="25">
        <v>230</v>
      </c>
      <c r="D34" s="25">
        <v>151</v>
      </c>
      <c r="E34" s="25">
        <v>35</v>
      </c>
      <c r="F34" s="25">
        <v>38</v>
      </c>
      <c r="G34" s="25">
        <v>2895</v>
      </c>
      <c r="H34" s="25">
        <v>1615</v>
      </c>
      <c r="I34" s="23">
        <f>C34/(G34-E34)+D34/(H34-F34)</f>
        <v>0.17617100717925066</v>
      </c>
    </row>
    <row r="35" spans="1:9" ht="31.5">
      <c r="A35" s="43">
        <v>3</v>
      </c>
      <c r="B35" s="3" t="s">
        <v>36</v>
      </c>
      <c r="C35" s="25">
        <v>152</v>
      </c>
      <c r="D35" s="25">
        <v>149</v>
      </c>
      <c r="E35" s="25">
        <v>227</v>
      </c>
      <c r="F35" s="25">
        <v>101</v>
      </c>
      <c r="G35" s="25">
        <v>2895</v>
      </c>
      <c r="H35" s="25">
        <v>1615</v>
      </c>
      <c r="I35" s="23">
        <f>C35/(G35-E35)+D35/(H35-F35)</f>
        <v>0.15538630948726428</v>
      </c>
    </row>
    <row r="36" spans="1:9" ht="31.5">
      <c r="A36" s="43">
        <v>4</v>
      </c>
      <c r="B36" s="3" t="s">
        <v>35</v>
      </c>
      <c r="C36" s="25">
        <v>93</v>
      </c>
      <c r="D36" s="25">
        <v>139</v>
      </c>
      <c r="E36" s="25">
        <v>130</v>
      </c>
      <c r="F36" s="25">
        <v>64</v>
      </c>
      <c r="G36" s="25">
        <v>2895</v>
      </c>
      <c r="H36" s="25">
        <v>1615</v>
      </c>
      <c r="I36" s="23">
        <f>C36/(G36-E36)+D36/(H36-F36)</f>
        <v>0.1232543199685672</v>
      </c>
    </row>
    <row r="37" spans="1:9" ht="15.75">
      <c r="B37" s="19" t="s">
        <v>49</v>
      </c>
      <c r="C37" s="31">
        <f>SUM(C33:C36)</f>
        <v>738</v>
      </c>
      <c r="D37" s="31">
        <f>SUM(D33:D36)</f>
        <v>737</v>
      </c>
      <c r="E37" s="31">
        <f>SUM(E33:E36)</f>
        <v>636</v>
      </c>
      <c r="F37" s="31">
        <f>SUM(F33:F36)</f>
        <v>311</v>
      </c>
      <c r="G37" s="31"/>
      <c r="H37" s="31"/>
      <c r="I37" s="15"/>
    </row>
    <row r="39" spans="1:9" ht="15.75">
      <c r="C39" s="5"/>
    </row>
  </sheetData>
  <sortState ref="B33:I36">
    <sortCondition descending="1" ref="I33:I36"/>
  </sortState>
  <phoneticPr fontId="5" type="noConversion"/>
  <pageMargins left="0.41" right="0.14000000000000001" top="0.26" bottom="0.27" header="0.2" footer="0.2"/>
  <pageSetup paperSize="9" scale="90" orientation="landscape" r:id="rId1"/>
  <headerFooter alignWithMargins="0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РЕЙТИНГ КАФ ТА ФАК</vt:lpstr>
      <vt:lpstr>РЕЙТИНГ ПОРІВНЯЛЬНИЙ</vt:lpstr>
      <vt:lpstr>2.1. Інд. ефект.видавн. діял.</vt:lpstr>
      <vt:lpstr>2.2. Інд.якості НПП</vt:lpstr>
      <vt:lpstr>2.3.Якість осв пр</vt:lpstr>
      <vt:lpstr>2.3.1 І як.освіт.проц. </vt:lpstr>
      <vt:lpstr>2.3.2 І д.з.</vt:lpstr>
      <vt:lpstr>2.3.3. І студ.</vt:lpstr>
      <vt:lpstr>2.3.4. І пл.</vt:lpstr>
      <vt:lpstr>2.3.5. І я.п.ф.</vt:lpstr>
      <vt:lpstr>2.4. І як.наукової роботи</vt:lpstr>
      <vt:lpstr>2.5. І. між.ак.</vt:lpstr>
      <vt:lpstr>2.6.-2.6.1. І фін.активність</vt:lpstr>
      <vt:lpstr>2.6.2. І фін наук діяльності</vt:lpstr>
      <vt:lpstr>2.7. І вебометричних показн.</vt:lpstr>
      <vt:lpstr>2.8. І к-м.спорт роб.</vt:lpstr>
      <vt:lpstr>'2.7. І вебометричних показн.'!_GoBack</vt:lpstr>
      <vt:lpstr>'2.3.1 І як.освіт.проц. '!Область_печати</vt:lpstr>
      <vt:lpstr>'2.3.2 І д.з.'!Область_печати</vt:lpstr>
      <vt:lpstr>'2.3.3. І студ.'!Область_печати</vt:lpstr>
      <vt:lpstr>'2.3.4. І пл.'!Область_печати</vt:lpstr>
      <vt:lpstr>'РЕЙТИНГ КАФ ТА ФАК'!Область_печати</vt:lpstr>
      <vt:lpstr>'РЕЙТИНГ ПОРІВНЯЛЬНИЙ'!Область_печати</vt:lpstr>
    </vt:vector>
  </TitlesOfParts>
  <Company>TSTU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v_Kadriv</dc:creator>
  <cp:lastModifiedBy>user</cp:lastModifiedBy>
  <cp:lastPrinted>2023-02-17T08:25:25Z</cp:lastPrinted>
  <dcterms:created xsi:type="dcterms:W3CDTF">2019-01-03T11:25:59Z</dcterms:created>
  <dcterms:modified xsi:type="dcterms:W3CDTF">2023-03-03T09:56:33Z</dcterms:modified>
</cp:coreProperties>
</file>